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3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5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4826DBCD-B1DA-4F79-B03B-1AC6919187A7}" xr6:coauthVersionLast="47" xr6:coauthVersionMax="47" xr10:uidLastSave="{00000000-0000-0000-0000-000000000000}"/>
  <bookViews>
    <workbookView xWindow="-120" yWindow="-120" windowWidth="38640" windowHeight="21120" tabRatio="581" xr2:uid="{DC90FDD8-35F2-4661-9EB6-E9AFBC728889}"/>
  </bookViews>
  <sheets>
    <sheet name="Participant Data" sheetId="7" r:id="rId1"/>
    <sheet name="Program Details" sheetId="4" r:id="rId2"/>
    <sheet name="Participant Demographics" sheetId="12" r:id="rId3"/>
    <sheet name="Participant Charges" sheetId="9" r:id="rId4"/>
    <sheet name="Participant Performance" sheetId="3" r:id="rId5"/>
    <sheet name="Recidivism" sheetId="10" r:id="rId6"/>
  </sheets>
  <definedNames>
    <definedName name="_xlnm._FilterDatabase" localSheetId="0" hidden="1">'Participant Data'!$A$3:$AM$3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12" l="1" a="1"/>
  <c r="T5" i="12" s="1"/>
  <c r="C42" i="10"/>
  <c r="C43" i="10"/>
  <c r="C44" i="10"/>
  <c r="C45" i="10"/>
  <c r="C46" i="10"/>
  <c r="C47" i="10"/>
  <c r="C48" i="10"/>
  <c r="C41" i="10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3" i="7"/>
  <c r="P54" i="7"/>
  <c r="P5" i="7"/>
  <c r="G125" i="3"/>
  <c r="F125" i="3"/>
  <c r="E125" i="3"/>
  <c r="G124" i="3"/>
  <c r="F124" i="3"/>
  <c r="E124" i="3"/>
  <c r="G123" i="3"/>
  <c r="F123" i="3"/>
  <c r="E123" i="3"/>
  <c r="F121" i="3"/>
  <c r="G121" i="3"/>
  <c r="E121" i="3"/>
  <c r="F122" i="3"/>
  <c r="G122" i="3"/>
  <c r="E122" i="3"/>
  <c r="F105" i="3"/>
  <c r="G105" i="3"/>
  <c r="E105" i="3"/>
  <c r="G104" i="3"/>
  <c r="F104" i="3"/>
  <c r="E104" i="3"/>
  <c r="G103" i="3"/>
  <c r="F103" i="3"/>
  <c r="E103" i="3"/>
  <c r="G102" i="3"/>
  <c r="F102" i="3"/>
  <c r="E102" i="3"/>
  <c r="E63" i="3"/>
  <c r="E64" i="3"/>
  <c r="D63" i="3"/>
  <c r="E66" i="3"/>
  <c r="E65" i="3"/>
  <c r="E31" i="3"/>
  <c r="D66" i="3"/>
  <c r="D65" i="3"/>
  <c r="D64" i="3"/>
  <c r="I63" i="9"/>
  <c r="H63" i="9"/>
  <c r="G63" i="9"/>
  <c r="F63" i="9"/>
  <c r="E63" i="9"/>
  <c r="D63" i="9"/>
  <c r="C63" i="9"/>
  <c r="I72" i="9"/>
  <c r="H72" i="9"/>
  <c r="G72" i="9"/>
  <c r="F72" i="9"/>
  <c r="E72" i="9"/>
  <c r="D72" i="9"/>
  <c r="C72" i="9"/>
  <c r="I71" i="9"/>
  <c r="H71" i="9"/>
  <c r="G71" i="9"/>
  <c r="F71" i="9"/>
  <c r="E71" i="9"/>
  <c r="D71" i="9"/>
  <c r="C71" i="9"/>
  <c r="I70" i="9"/>
  <c r="H70" i="9"/>
  <c r="G70" i="9"/>
  <c r="F70" i="9"/>
  <c r="E70" i="9"/>
  <c r="D70" i="9"/>
  <c r="C70" i="9"/>
  <c r="I69" i="9"/>
  <c r="H69" i="9"/>
  <c r="G69" i="9"/>
  <c r="F69" i="9"/>
  <c r="E69" i="9"/>
  <c r="D69" i="9"/>
  <c r="C69" i="9"/>
  <c r="I68" i="9"/>
  <c r="H68" i="9"/>
  <c r="G68" i="9"/>
  <c r="F68" i="9"/>
  <c r="E68" i="9"/>
  <c r="D68" i="9"/>
  <c r="C68" i="9"/>
  <c r="I67" i="9"/>
  <c r="H67" i="9"/>
  <c r="G67" i="9"/>
  <c r="F67" i="9"/>
  <c r="E67" i="9"/>
  <c r="D67" i="9"/>
  <c r="C67" i="9"/>
  <c r="I66" i="9"/>
  <c r="H66" i="9"/>
  <c r="G66" i="9"/>
  <c r="F66" i="9"/>
  <c r="E66" i="9"/>
  <c r="D66" i="9"/>
  <c r="C66" i="9"/>
  <c r="I65" i="9"/>
  <c r="H65" i="9"/>
  <c r="G65" i="9"/>
  <c r="F65" i="9"/>
  <c r="E65" i="9"/>
  <c r="D65" i="9"/>
  <c r="C65" i="9"/>
  <c r="I64" i="9"/>
  <c r="H64" i="9"/>
  <c r="G64" i="9"/>
  <c r="F64" i="9"/>
  <c r="E64" i="9"/>
  <c r="D64" i="9"/>
  <c r="C64" i="9"/>
  <c r="J72" i="9"/>
  <c r="J71" i="9"/>
  <c r="J70" i="9"/>
  <c r="J69" i="9"/>
  <c r="J68" i="9"/>
  <c r="J67" i="9"/>
  <c r="J66" i="9"/>
  <c r="J65" i="9"/>
  <c r="J64" i="9"/>
  <c r="J63" i="9"/>
  <c r="E44" i="3"/>
  <c r="E45" i="3"/>
  <c r="E82" i="3"/>
  <c r="E81" i="3"/>
  <c r="D28" i="3"/>
  <c r="D29" i="3"/>
  <c r="D30" i="3"/>
  <c r="E28" i="3"/>
  <c r="E29" i="3"/>
  <c r="E30" i="3"/>
  <c r="E27" i="3"/>
  <c r="E26" i="3"/>
  <c r="D31" i="3"/>
  <c r="D27" i="3"/>
  <c r="D7" i="3"/>
  <c r="D8" i="3"/>
  <c r="D6" i="3"/>
  <c r="D9" i="3"/>
  <c r="D5" i="3"/>
  <c r="E9" i="3"/>
  <c r="E7" i="3"/>
  <c r="E8" i="3"/>
  <c r="E6" i="3"/>
  <c r="E5" i="3"/>
  <c r="C82" i="4"/>
  <c r="C83" i="4"/>
  <c r="C84" i="4"/>
  <c r="C81" i="4"/>
  <c r="C67" i="4"/>
  <c r="C68" i="4"/>
  <c r="C69" i="4"/>
  <c r="C70" i="4"/>
  <c r="C66" i="4"/>
  <c r="C48" i="4"/>
  <c r="C47" i="4"/>
  <c r="C46" i="4"/>
  <c r="E91" i="12"/>
  <c r="E90" i="12"/>
  <c r="E73" i="12"/>
  <c r="E72" i="12"/>
  <c r="E71" i="12"/>
  <c r="E70" i="12"/>
  <c r="E69" i="12"/>
  <c r="E51" i="12"/>
  <c r="G51" i="12" s="1"/>
  <c r="D51" i="12"/>
  <c r="E50" i="12"/>
  <c r="G50" i="12" s="1"/>
  <c r="D50" i="12"/>
  <c r="E49" i="12"/>
  <c r="G49" i="12" s="1"/>
  <c r="D49" i="12"/>
  <c r="E48" i="12"/>
  <c r="F48" i="12" s="1"/>
  <c r="D48" i="12"/>
  <c r="E47" i="12"/>
  <c r="H47" i="12" s="1"/>
  <c r="D47" i="12"/>
  <c r="E46" i="12"/>
  <c r="J46" i="12" s="1"/>
  <c r="D46" i="12"/>
  <c r="E29" i="12"/>
  <c r="E28" i="12"/>
  <c r="E27" i="12"/>
  <c r="E26" i="12"/>
  <c r="E25" i="12"/>
  <c r="E12" i="12"/>
  <c r="E11" i="12"/>
  <c r="D11" i="12"/>
  <c r="E10" i="12"/>
  <c r="D10" i="12"/>
  <c r="E9" i="12"/>
  <c r="D9" i="12"/>
  <c r="E8" i="12"/>
  <c r="D8" i="12"/>
  <c r="E7" i="12"/>
  <c r="D7" i="12"/>
  <c r="E6" i="12"/>
  <c r="D6" i="12"/>
  <c r="C49" i="9"/>
  <c r="E49" i="9" s="1"/>
  <c r="C57" i="9"/>
  <c r="E57" i="9" s="1"/>
  <c r="C56" i="9"/>
  <c r="E56" i="9" s="1"/>
  <c r="C55" i="9"/>
  <c r="E55" i="9" s="1"/>
  <c r="C54" i="9"/>
  <c r="H54" i="9" s="1"/>
  <c r="C53" i="9"/>
  <c r="E53" i="9" s="1"/>
  <c r="C52" i="9"/>
  <c r="E52" i="9" s="1"/>
  <c r="C51" i="9"/>
  <c r="D51" i="9" s="1"/>
  <c r="C50" i="9"/>
  <c r="E50" i="9" s="1"/>
  <c r="C48" i="9"/>
  <c r="J48" i="9" s="1"/>
  <c r="C29" i="9"/>
  <c r="C30" i="9"/>
  <c r="C31" i="9"/>
  <c r="C32" i="9"/>
  <c r="C33" i="9"/>
  <c r="C34" i="9"/>
  <c r="C28" i="9"/>
  <c r="C5" i="9"/>
  <c r="C6" i="9"/>
  <c r="C7" i="9"/>
  <c r="C8" i="9"/>
  <c r="C9" i="9"/>
  <c r="C10" i="9"/>
  <c r="C11" i="9"/>
  <c r="C12" i="9"/>
  <c r="C13" i="9"/>
  <c r="C4" i="9"/>
  <c r="C24" i="4"/>
  <c r="C25" i="4"/>
  <c r="C26" i="4"/>
  <c r="C27" i="4"/>
  <c r="C28" i="4"/>
  <c r="C23" i="4"/>
  <c r="C8" i="4" a="1"/>
  <c r="C8" i="4" s="1"/>
  <c r="C7" i="4"/>
  <c r="C6" i="4"/>
  <c r="C5" i="4"/>
  <c r="C4" i="10" l="1"/>
  <c r="C21" i="10" s="1"/>
  <c r="D7" i="10"/>
  <c r="C7" i="10"/>
  <c r="D6" i="10"/>
  <c r="C6" i="10"/>
  <c r="D5" i="10"/>
  <c r="C5" i="10"/>
  <c r="D4" i="10"/>
  <c r="F28" i="12"/>
  <c r="F8" i="12"/>
  <c r="F9" i="12"/>
  <c r="F29" i="12"/>
  <c r="C49" i="10"/>
  <c r="D44" i="10" s="1"/>
  <c r="G6" i="12"/>
  <c r="F7" i="12"/>
  <c r="F10" i="12"/>
  <c r="F11" i="12"/>
  <c r="F50" i="12"/>
  <c r="H48" i="12"/>
  <c r="C73" i="9"/>
  <c r="D73" i="9"/>
  <c r="E73" i="9"/>
  <c r="F73" i="9"/>
  <c r="G73" i="9"/>
  <c r="H73" i="9"/>
  <c r="I73" i="9"/>
  <c r="H49" i="12"/>
  <c r="H50" i="12"/>
  <c r="H51" i="12"/>
  <c r="I48" i="12"/>
  <c r="I49" i="12"/>
  <c r="I50" i="12"/>
  <c r="I51" i="12"/>
  <c r="F46" i="12"/>
  <c r="J47" i="12"/>
  <c r="G46" i="12"/>
  <c r="J48" i="12"/>
  <c r="H46" i="12"/>
  <c r="J49" i="12"/>
  <c r="I46" i="12"/>
  <c r="J50" i="12"/>
  <c r="J51" i="12"/>
  <c r="I47" i="12"/>
  <c r="J73" i="9"/>
  <c r="F47" i="12"/>
  <c r="D48" i="9"/>
  <c r="D49" i="9"/>
  <c r="F49" i="12"/>
  <c r="D50" i="9"/>
  <c r="E48" i="9"/>
  <c r="F51" i="12"/>
  <c r="F48" i="9"/>
  <c r="G47" i="12"/>
  <c r="G48" i="9"/>
  <c r="H48" i="9"/>
  <c r="I48" i="9"/>
  <c r="E67" i="3"/>
  <c r="F63" i="3" s="1"/>
  <c r="E46" i="3"/>
  <c r="E32" i="3"/>
  <c r="E10" i="3"/>
  <c r="F6" i="3" s="1"/>
  <c r="C85" i="4"/>
  <c r="D81" i="4" s="1"/>
  <c r="C71" i="4"/>
  <c r="D66" i="4" s="1"/>
  <c r="C49" i="4"/>
  <c r="F82" i="3"/>
  <c r="Q80" i="3" s="1"/>
  <c r="G25" i="12"/>
  <c r="F26" i="12"/>
  <c r="F27" i="12"/>
  <c r="E74" i="12"/>
  <c r="F70" i="12" s="1"/>
  <c r="E92" i="12"/>
  <c r="F90" i="12" s="1"/>
  <c r="G7" i="12"/>
  <c r="G8" i="12" s="1"/>
  <c r="G9" i="12" s="1"/>
  <c r="G10" i="12" s="1"/>
  <c r="G11" i="12" s="1"/>
  <c r="G48" i="12"/>
  <c r="E52" i="12"/>
  <c r="E30" i="12"/>
  <c r="F6" i="12"/>
  <c r="F25" i="12"/>
  <c r="J51" i="9"/>
  <c r="G54" i="9"/>
  <c r="I51" i="9"/>
  <c r="F54" i="9"/>
  <c r="H51" i="9"/>
  <c r="E54" i="9"/>
  <c r="G51" i="9"/>
  <c r="D55" i="9"/>
  <c r="F51" i="9"/>
  <c r="J55" i="9"/>
  <c r="E51" i="9"/>
  <c r="I55" i="9"/>
  <c r="D52" i="9"/>
  <c r="H55" i="9"/>
  <c r="J52" i="9"/>
  <c r="G55" i="9"/>
  <c r="I52" i="9"/>
  <c r="F55" i="9"/>
  <c r="H52" i="9"/>
  <c r="J49" i="9"/>
  <c r="G52" i="9"/>
  <c r="D56" i="9"/>
  <c r="I49" i="9"/>
  <c r="F52" i="9"/>
  <c r="J56" i="9"/>
  <c r="H49" i="9"/>
  <c r="I56" i="9"/>
  <c r="G49" i="9"/>
  <c r="D53" i="9"/>
  <c r="H56" i="9"/>
  <c r="F49" i="9"/>
  <c r="J53" i="9"/>
  <c r="G56" i="9"/>
  <c r="I53" i="9"/>
  <c r="F56" i="9"/>
  <c r="H53" i="9"/>
  <c r="J50" i="9"/>
  <c r="G53" i="9"/>
  <c r="D57" i="9"/>
  <c r="I50" i="9"/>
  <c r="F53" i="9"/>
  <c r="J57" i="9"/>
  <c r="H50" i="9"/>
  <c r="I57" i="9"/>
  <c r="G50" i="9"/>
  <c r="D54" i="9"/>
  <c r="H57" i="9"/>
  <c r="F50" i="9"/>
  <c r="J54" i="9"/>
  <c r="G57" i="9"/>
  <c r="I54" i="9"/>
  <c r="F57" i="9"/>
  <c r="C58" i="9"/>
  <c r="C14" i="9"/>
  <c r="D13" i="9" s="1"/>
  <c r="C35" i="9"/>
  <c r="D7" i="4"/>
  <c r="C29" i="4"/>
  <c r="D24" i="4" s="1"/>
  <c r="D5" i="4"/>
  <c r="N4" i="4" s="1"/>
  <c r="D6" i="4"/>
  <c r="E4" i="10" l="1"/>
  <c r="E5" i="10"/>
  <c r="E6" i="10"/>
  <c r="E7" i="10"/>
  <c r="D42" i="10"/>
  <c r="D48" i="10"/>
  <c r="D41" i="10"/>
  <c r="D46" i="10"/>
  <c r="D47" i="10"/>
  <c r="D43" i="10"/>
  <c r="D45" i="10"/>
  <c r="D21" i="10"/>
  <c r="E21" i="10" s="1"/>
  <c r="C22" i="10"/>
  <c r="C23" i="10" s="1"/>
  <c r="C24" i="10" s="1"/>
  <c r="F64" i="3"/>
  <c r="F66" i="3"/>
  <c r="F65" i="3"/>
  <c r="G63" i="3"/>
  <c r="F45" i="3"/>
  <c r="G45" i="3" s="1"/>
  <c r="F44" i="3"/>
  <c r="G44" i="3" s="1"/>
  <c r="G26" i="3"/>
  <c r="G5" i="3"/>
  <c r="F27" i="3"/>
  <c r="F31" i="3"/>
  <c r="F28" i="3"/>
  <c r="F30" i="3"/>
  <c r="F29" i="3"/>
  <c r="F26" i="3"/>
  <c r="F5" i="3"/>
  <c r="F8" i="3"/>
  <c r="F7" i="3"/>
  <c r="F9" i="3"/>
  <c r="D83" i="4"/>
  <c r="D84" i="4"/>
  <c r="D82" i="4"/>
  <c r="D67" i="4"/>
  <c r="AD65" i="4" s="1"/>
  <c r="AD66" i="4" s="1"/>
  <c r="D69" i="4"/>
  <c r="D70" i="4"/>
  <c r="D68" i="4"/>
  <c r="AF65" i="4" s="1"/>
  <c r="AF66" i="4" s="1"/>
  <c r="D47" i="4"/>
  <c r="D48" i="4"/>
  <c r="D46" i="4"/>
  <c r="G26" i="12"/>
  <c r="G27" i="12" s="1"/>
  <c r="G28" i="12" s="1"/>
  <c r="G29" i="12" s="1"/>
  <c r="F91" i="12"/>
  <c r="F73" i="12"/>
  <c r="F72" i="12"/>
  <c r="F69" i="12"/>
  <c r="F71" i="12"/>
  <c r="D29" i="9"/>
  <c r="D28" i="9"/>
  <c r="D30" i="9"/>
  <c r="D31" i="9"/>
  <c r="D33" i="9"/>
  <c r="D4" i="9"/>
  <c r="D7" i="9"/>
  <c r="D8" i="9"/>
  <c r="D11" i="9"/>
  <c r="D32" i="9"/>
  <c r="D34" i="9"/>
  <c r="D5" i="9"/>
  <c r="D12" i="9"/>
  <c r="E4" i="9"/>
  <c r="D6" i="9"/>
  <c r="D9" i="9"/>
  <c r="D10" i="9"/>
  <c r="D25" i="4"/>
  <c r="D26" i="4"/>
  <c r="D27" i="4"/>
  <c r="D28" i="4"/>
  <c r="D23" i="4"/>
  <c r="D29" i="4"/>
  <c r="D22" i="10" l="1"/>
  <c r="E22" i="10" s="1"/>
  <c r="E5" i="9"/>
  <c r="G64" i="3"/>
  <c r="R61" i="3" s="1" a="1"/>
  <c r="R61" i="3" s="1"/>
  <c r="G6" i="3"/>
  <c r="G7" i="3" s="1"/>
  <c r="G8" i="3" s="1"/>
  <c r="G9" i="3" s="1"/>
  <c r="G27" i="3"/>
  <c r="E6" i="9"/>
  <c r="E7" i="9" s="1"/>
  <c r="E8" i="9" s="1"/>
  <c r="E9" i="9" s="1"/>
  <c r="E10" i="9" s="1"/>
  <c r="E11" i="9" s="1"/>
  <c r="E12" i="9" s="1"/>
  <c r="E13" i="9" s="1"/>
  <c r="D23" i="10" l="1"/>
  <c r="D24" i="10" s="1"/>
  <c r="E24" i="10" s="1"/>
  <c r="G65" i="3"/>
  <c r="G66" i="3" s="1"/>
  <c r="G28" i="3"/>
  <c r="G29" i="3" s="1"/>
  <c r="G30" i="3" s="1"/>
  <c r="G31" i="3" s="1"/>
  <c r="R3" i="3" a="1"/>
  <c r="R3" i="3" s="1"/>
  <c r="E23" i="10" l="1"/>
  <c r="R24" i="3" a="1"/>
  <c r="R2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<sst xmlns="http://schemas.openxmlformats.org/spreadsheetml/2006/main" count="1437" uniqueCount="182">
  <si>
    <t>#</t>
  </si>
  <si>
    <t>yes/no</t>
  </si>
  <si>
    <t>yes/no/n/a</t>
  </si>
  <si>
    <t>Asian</t>
  </si>
  <si>
    <t>Black or African American</t>
  </si>
  <si>
    <t>White</t>
  </si>
  <si>
    <t>Not Hispanic or Latino</t>
  </si>
  <si>
    <t>Male</t>
  </si>
  <si>
    <t>Female</t>
  </si>
  <si>
    <t>Transgender</t>
  </si>
  <si>
    <t>Non-Binary/Non-Gender Conforming</t>
  </si>
  <si>
    <t>Prefer not to answer</t>
  </si>
  <si>
    <t>Native Hawaiian or Other Pacific Islander</t>
  </si>
  <si>
    <t>felony 1</t>
  </si>
  <si>
    <t>felony 2</t>
  </si>
  <si>
    <t>felony 3</t>
  </si>
  <si>
    <t>felony 4</t>
  </si>
  <si>
    <t>felony 5</t>
  </si>
  <si>
    <t>misdemeanor 1</t>
  </si>
  <si>
    <t>misdemeanor 2</t>
  </si>
  <si>
    <t>misdemeanor 3</t>
  </si>
  <si>
    <t>misdemeanor 4</t>
  </si>
  <si>
    <t xml:space="preserve">minor misdemeanor </t>
  </si>
  <si>
    <t>possession</t>
  </si>
  <si>
    <t>trafficking</t>
  </si>
  <si>
    <t>domestic violence</t>
  </si>
  <si>
    <t>assault</t>
  </si>
  <si>
    <t>DUI/DWI</t>
  </si>
  <si>
    <t>weapons</t>
  </si>
  <si>
    <t>theft</t>
  </si>
  <si>
    <t>N/E/S/W</t>
  </si>
  <si>
    <t>drug possession</t>
  </si>
  <si>
    <t>OVI/DUI</t>
  </si>
  <si>
    <t>did not meet criteria</t>
  </si>
  <si>
    <t>mandatory prison time</t>
  </si>
  <si>
    <t>violence of charge</t>
  </si>
  <si>
    <t>conflict</t>
  </si>
  <si>
    <t>no treatment needs</t>
  </si>
  <si>
    <t>risk level</t>
  </si>
  <si>
    <t>behavior</t>
  </si>
  <si>
    <t>voluntary withdraw</t>
  </si>
  <si>
    <t>Standard IV</t>
  </si>
  <si>
    <t>Standard X</t>
  </si>
  <si>
    <t>Standard II</t>
  </si>
  <si>
    <t>key format</t>
  </si>
  <si>
    <t>yes</t>
  </si>
  <si>
    <t>n/a</t>
  </si>
  <si>
    <t>no</t>
  </si>
  <si>
    <t>Northern Region</t>
  </si>
  <si>
    <t>Southern Region</t>
  </si>
  <si>
    <t>Western Region</t>
  </si>
  <si>
    <t>opted out</t>
  </si>
  <si>
    <t>graduated</t>
  </si>
  <si>
    <t>terminated</t>
  </si>
  <si>
    <t>neutral</t>
  </si>
  <si>
    <t>Count</t>
  </si>
  <si>
    <t>Low</t>
  </si>
  <si>
    <t>High</t>
  </si>
  <si>
    <t>Age Group</t>
  </si>
  <si>
    <t>% of Total</t>
  </si>
  <si>
    <t>Cumulative %</t>
  </si>
  <si>
    <t>INSIGHT</t>
  </si>
  <si>
    <t>Gender</t>
  </si>
  <si>
    <t>Positive</t>
  </si>
  <si>
    <t>Negative</t>
  </si>
  <si>
    <t>Total</t>
  </si>
  <si>
    <t>Incentives</t>
  </si>
  <si>
    <t>Sanctions</t>
  </si>
  <si>
    <t># range (1-26)</t>
  </si>
  <si>
    <t>possession
theft
trafficking
domestic violence
assault
DUI/DWI
weapons</t>
  </si>
  <si>
    <t>Male
Female
Transgender
Non-Binary/Non-Gender Conforming
Prefer not to answer</t>
  </si>
  <si>
    <t xml:space="preserve">felony 1
felony 2
felony 3
felony 4
felony 5
misdemeanor 1
misdemeanor 2
misdemeanor 3
misdemeanor 4
minor misdemeanor </t>
  </si>
  <si>
    <t>drug possession
drug trafficking
assault
domestic violence
OVI/DUI
gun-related charge
theft
property damage</t>
  </si>
  <si>
    <t>Hispanic or Latino</t>
  </si>
  <si>
    <t>Hispanic or Latino
Not Hispanic or Latino</t>
  </si>
  <si>
    <t>behavior
medical/mental health issues
relocation
voluntary withdraw</t>
  </si>
  <si>
    <t>Participant ID</t>
  </si>
  <si>
    <t>Court Attendances</t>
  </si>
  <si>
    <t>Violations</t>
  </si>
  <si>
    <t>Positive Drug Screens</t>
  </si>
  <si>
    <t>Negative Drug Screens</t>
  </si>
  <si>
    <t>Medication Compliance</t>
  </si>
  <si>
    <t>Treatment Appointment Attendances</t>
  </si>
  <si>
    <t xml:space="preserve"> Peer Support Connection</t>
  </si>
  <si>
    <t>Individual Counseling Completed</t>
  </si>
  <si>
    <t>Aftercare Plan Completed</t>
  </si>
  <si>
    <t>Service Adjustments</t>
  </si>
  <si>
    <t>Reliable Transportation</t>
  </si>
  <si>
    <t>Indigency Waiver</t>
  </si>
  <si>
    <t>Safe Housing Secured</t>
  </si>
  <si>
    <t>Employment Obtained</t>
  </si>
  <si>
    <t>Enrolled in College</t>
  </si>
  <si>
    <t>Enrolled in Work Training Program</t>
  </si>
  <si>
    <t>Family Reunification</t>
  </si>
  <si>
    <t>Highest Level Charge</t>
  </si>
  <si>
    <t>Offense Classification</t>
  </si>
  <si>
    <t>Age</t>
  </si>
  <si>
    <t>Race</t>
  </si>
  <si>
    <t>Ethnicity</t>
  </si>
  <si>
    <t>Region, Neighborhood</t>
  </si>
  <si>
    <t>Demographics</t>
  </si>
  <si>
    <t>Description:</t>
  </si>
  <si>
    <t>Accepted</t>
  </si>
  <si>
    <t>Denial Reason</t>
  </si>
  <si>
    <t>did not meet criteria
mandatory prison time
violence of charge
conflict
no treatment needs
risk level</t>
  </si>
  <si>
    <t>Performance</t>
  </si>
  <si>
    <t>Program</t>
  </si>
  <si>
    <t>Graduation Date</t>
  </si>
  <si>
    <t>Graduation Period</t>
  </si>
  <si>
    <t>Disposition</t>
  </si>
  <si>
    <t>active
graduated
terminated
neutral
n/a</t>
  </si>
  <si>
    <t>Termination Reason</t>
  </si>
  <si>
    <t>Recidivism</t>
  </si>
  <si>
    <t>Post-Graduation Charges</t>
  </si>
  <si>
    <t>yes
no</t>
  </si>
  <si>
    <t>yes
no
n/a</t>
  </si>
  <si>
    <t>Category:</t>
  </si>
  <si>
    <t>Standard:</t>
  </si>
  <si>
    <t>Field:</t>
  </si>
  <si>
    <t>yes
no
opted out</t>
  </si>
  <si>
    <t>*** Automatically Calculated***
6 months
1 year
3 years
5 years or longer</t>
  </si>
  <si>
    <t>Charges</t>
  </si>
  <si>
    <t>Program Mentor/Peer</t>
  </si>
  <si>
    <t>Post-Graduation Offense Classification</t>
  </si>
  <si>
    <t>Post-Graduation Charge Level</t>
  </si>
  <si>
    <t>Jail Sanctions</t>
  </si>
  <si>
    <t>Total # of sactions</t>
  </si>
  <si>
    <t>Declined</t>
  </si>
  <si>
    <t>Opted Out</t>
  </si>
  <si>
    <t>Did Not Meet Criteria</t>
  </si>
  <si>
    <t>Violence of Charge</t>
  </si>
  <si>
    <t>Conflict</t>
  </si>
  <si>
    <t>No Treatment Needs</t>
  </si>
  <si>
    <t>Risk Level</t>
  </si>
  <si>
    <t>Mandatory Prison Time</t>
  </si>
  <si>
    <t>Program Acceptance</t>
  </si>
  <si>
    <t>Non-Binary / 
Non-Gender Conforming</t>
  </si>
  <si>
    <t>Prefer not 
to answer</t>
  </si>
  <si>
    <t>Non-Binary / 
Non-Gender 
Conforming</t>
  </si>
  <si>
    <t>Incentives vs Sactions</t>
  </si>
  <si>
    <t>% to Incentives</t>
  </si>
  <si>
    <t>Yes</t>
  </si>
  <si>
    <t>No</t>
  </si>
  <si>
    <t>N/A</t>
  </si>
  <si>
    <t>Connected</t>
  </si>
  <si>
    <t>Not Connected</t>
  </si>
  <si>
    <t>grey</t>
  </si>
  <si>
    <t>blank</t>
  </si>
  <si>
    <t>None</t>
  </si>
  <si>
    <t>Results</t>
  </si>
  <si>
    <t>Drug Screens</t>
  </si>
  <si>
    <t>Label</t>
  </si>
  <si>
    <t>Peer Support Connection</t>
  </si>
  <si>
    <t>6 months</t>
  </si>
  <si>
    <t>1 year</t>
  </si>
  <si>
    <t>3 years</t>
  </si>
  <si>
    <t>Graduated
in Period</t>
  </si>
  <si>
    <t>Post-Graduation 
Charges in Period</t>
  </si>
  <si>
    <t>Total
Graduated</t>
  </si>
  <si>
    <t>Total Post-Graduation Charges</t>
  </si>
  <si>
    <t>5 years</t>
  </si>
  <si>
    <t>Recidivism 
Rate</t>
  </si>
  <si>
    <t>Total Recidivism 
Rate</t>
  </si>
  <si>
    <t>gun-related charge</t>
  </si>
  <si>
    <t>property damage</t>
  </si>
  <si>
    <t>Standard VII</t>
  </si>
  <si>
    <t>Standard V</t>
  </si>
  <si>
    <t>Standard VI</t>
  </si>
  <si>
    <t>Standard I</t>
  </si>
  <si>
    <t>Behavior</t>
  </si>
  <si>
    <t>Relocation</t>
  </si>
  <si>
    <t>Voluntary Withdraw</t>
  </si>
  <si>
    <t>Active</t>
  </si>
  <si>
    <t>Graduated</t>
  </si>
  <si>
    <t>Terminated</t>
  </si>
  <si>
    <t>Neutral</t>
  </si>
  <si>
    <t># of sanctions that were jail sactions</t>
  </si>
  <si>
    <t>American Indian or Alaska Native
Asian
Black or African American
Native Hawaiian or Other Pacific Islander
White
*based on BJA collection data</t>
  </si>
  <si>
    <t>American Indian or Alaska Native</t>
  </si>
  <si>
    <t>Severe Medical or Mental Health</t>
  </si>
  <si>
    <t>active</t>
  </si>
  <si>
    <t>trafficking/sales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</si>
</sst>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3F3F76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sz val="14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theme="4"/>
      <name val="Aptos Narrow"/>
      <family val="2"/>
      <scheme val="minor"/>
    </font>
    <font>
      <b/>
      <sz val="12"/>
      <color theme="4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CE3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7F7F7F"/>
      </bottom>
      <diagonal/>
    </border>
    <border>
      <left style="thin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7F7F7F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1" fillId="3" borderId="6" applyNumberFormat="0" applyFont="0" applyAlignment="0" applyProtection="0"/>
  </cellStyleXfs>
  <cellXfs count="61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4" borderId="0" xfId="0" applyFont="1" applyFill="1" applyAlignment="1">
      <alignment horizontal="left"/>
    </xf>
    <xf numFmtId="0" fontId="6" fillId="4" borderId="0" xfId="0" applyFont="1" applyFill="1" applyAlignment="1">
      <alignment horizontal="left"/>
    </xf>
    <xf numFmtId="0" fontId="3" fillId="0" borderId="5" xfId="0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6" fillId="4" borderId="0" xfId="0" applyFont="1" applyFill="1"/>
    <xf numFmtId="0" fontId="7" fillId="4" borderId="0" xfId="0" applyFont="1" applyFill="1"/>
    <xf numFmtId="9" fontId="7" fillId="4" borderId="0" xfId="1" applyFont="1" applyFill="1" applyBorder="1"/>
    <xf numFmtId="9" fontId="7" fillId="4" borderId="0" xfId="1" applyFont="1" applyFill="1"/>
    <xf numFmtId="0" fontId="7" fillId="4" borderId="2" xfId="0" applyFont="1" applyFill="1" applyBorder="1"/>
    <xf numFmtId="0" fontId="9" fillId="2" borderId="1" xfId="2" applyFont="1"/>
    <xf numFmtId="0" fontId="9" fillId="2" borderId="1" xfId="2" applyFont="1" applyAlignment="1">
      <alignment horizontal="center"/>
    </xf>
    <xf numFmtId="0" fontId="8" fillId="4" borderId="0" xfId="0" applyFont="1" applyFill="1"/>
    <xf numFmtId="9" fontId="7" fillId="4" borderId="0" xfId="0" applyNumberFormat="1" applyFont="1" applyFill="1"/>
    <xf numFmtId="0" fontId="6" fillId="4" borderId="4" xfId="0" applyFont="1" applyFill="1" applyBorder="1"/>
    <xf numFmtId="0" fontId="6" fillId="4" borderId="4" xfId="0" applyFont="1" applyFill="1" applyBorder="1" applyAlignment="1">
      <alignment horizontal="right"/>
    </xf>
    <xf numFmtId="1" fontId="7" fillId="4" borderId="0" xfId="1" applyNumberFormat="1" applyFont="1" applyFill="1" applyBorder="1"/>
    <xf numFmtId="1" fontId="7" fillId="4" borderId="0" xfId="0" applyNumberFormat="1" applyFont="1" applyFill="1"/>
    <xf numFmtId="0" fontId="8" fillId="4" borderId="2" xfId="0" applyFont="1" applyFill="1" applyBorder="1"/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vertical="center"/>
    </xf>
    <xf numFmtId="0" fontId="7" fillId="4" borderId="0" xfId="0" applyFont="1" applyFill="1" applyAlignment="1">
      <alignment wrapText="1"/>
    </xf>
    <xf numFmtId="9" fontId="7" fillId="4" borderId="0" xfId="1" applyFont="1" applyFill="1" applyBorder="1" applyAlignment="1">
      <alignment horizontal="right"/>
    </xf>
    <xf numFmtId="0" fontId="9" fillId="2" borderId="9" xfId="2" applyFont="1" applyBorder="1"/>
    <xf numFmtId="0" fontId="6" fillId="4" borderId="0" xfId="0" applyFont="1" applyFill="1" applyAlignment="1">
      <alignment horizontal="right"/>
    </xf>
    <xf numFmtId="9" fontId="7" fillId="4" borderId="2" xfId="1" applyFont="1" applyFill="1" applyBorder="1"/>
    <xf numFmtId="0" fontId="12" fillId="4" borderId="0" xfId="0" applyFont="1" applyFill="1"/>
    <xf numFmtId="1" fontId="12" fillId="4" borderId="0" xfId="0" applyNumberFormat="1" applyFont="1" applyFill="1"/>
    <xf numFmtId="1" fontId="12" fillId="4" borderId="0" xfId="1" applyNumberFormat="1" applyFont="1" applyFill="1"/>
    <xf numFmtId="0" fontId="6" fillId="4" borderId="10" xfId="0" applyFont="1" applyFill="1" applyBorder="1" applyAlignment="1">
      <alignment horizontal="right"/>
    </xf>
    <xf numFmtId="0" fontId="7" fillId="4" borderId="0" xfId="0" applyFont="1" applyFill="1" applyAlignment="1">
      <alignment horizontal="right"/>
    </xf>
    <xf numFmtId="0" fontId="7" fillId="4" borderId="5" xfId="0" applyFont="1" applyFill="1" applyBorder="1"/>
    <xf numFmtId="0" fontId="6" fillId="4" borderId="4" xfId="0" applyFont="1" applyFill="1" applyBorder="1" applyAlignment="1">
      <alignment horizontal="right" wrapText="1"/>
    </xf>
    <xf numFmtId="9" fontId="7" fillId="4" borderId="5" xfId="1" applyFont="1" applyFill="1" applyBorder="1" applyAlignment="1">
      <alignment horizontal="right"/>
    </xf>
    <xf numFmtId="0" fontId="6" fillId="4" borderId="10" xfId="0" applyFont="1" applyFill="1" applyBorder="1"/>
    <xf numFmtId="1" fontId="7" fillId="4" borderId="5" xfId="1" applyNumberFormat="1" applyFont="1" applyFill="1" applyBorder="1" applyAlignment="1">
      <alignment horizontal="right"/>
    </xf>
    <xf numFmtId="1" fontId="7" fillId="4" borderId="0" xfId="1" applyNumberFormat="1" applyFont="1" applyFill="1" applyBorder="1" applyAlignment="1">
      <alignment horizontal="right"/>
    </xf>
    <xf numFmtId="0" fontId="8" fillId="4" borderId="5" xfId="0" applyFont="1" applyFill="1" applyBorder="1"/>
    <xf numFmtId="1" fontId="7" fillId="4" borderId="10" xfId="1" applyNumberFormat="1" applyFont="1" applyFill="1" applyBorder="1" applyAlignment="1">
      <alignment horizontal="right"/>
    </xf>
    <xf numFmtId="1" fontId="7" fillId="4" borderId="4" xfId="1" applyNumberFormat="1" applyFont="1" applyFill="1" applyBorder="1" applyAlignment="1">
      <alignment horizontal="right"/>
    </xf>
    <xf numFmtId="0" fontId="8" fillId="4" borderId="10" xfId="0" applyFont="1" applyFill="1" applyBorder="1"/>
    <xf numFmtId="1" fontId="7" fillId="4" borderId="5" xfId="0" applyNumberFormat="1" applyFont="1" applyFill="1" applyBorder="1"/>
    <xf numFmtId="0" fontId="8" fillId="4" borderId="11" xfId="0" applyFont="1" applyFill="1" applyBorder="1"/>
    <xf numFmtId="0" fontId="6" fillId="4" borderId="4" xfId="0" applyFont="1" applyFill="1" applyBorder="1" applyAlignment="1">
      <alignment horizontal="left" wrapText="1"/>
    </xf>
    <xf numFmtId="0" fontId="13" fillId="6" borderId="0" xfId="0" applyFont="1" applyFill="1" applyAlignment="1">
      <alignment horizontal="center" vertical="center"/>
    </xf>
    <xf numFmtId="0" fontId="13" fillId="6" borderId="3" xfId="2" applyFont="1" applyFill="1" applyBorder="1" applyAlignment="1">
      <alignment horizontal="center" vertical="center" wrapText="1"/>
    </xf>
    <xf numFmtId="0" fontId="13" fillId="6" borderId="1" xfId="2" applyFont="1" applyFill="1" applyAlignment="1">
      <alignment horizontal="center" vertical="center" wrapText="1"/>
    </xf>
    <xf numFmtId="0" fontId="14" fillId="5" borderId="0" xfId="0" applyFont="1" applyFill="1" applyAlignment="1">
      <alignment horizontal="left" vertical="top"/>
    </xf>
    <xf numFmtId="0" fontId="15" fillId="5" borderId="3" xfId="2" applyFont="1" applyFill="1" applyBorder="1" applyAlignment="1">
      <alignment horizontal="center" vertical="top" wrapText="1"/>
    </xf>
    <xf numFmtId="0" fontId="15" fillId="5" borderId="1" xfId="2" applyFont="1" applyFill="1" applyAlignment="1">
      <alignment horizontal="center" vertical="top" wrapText="1"/>
    </xf>
    <xf numFmtId="0" fontId="15" fillId="5" borderId="1" xfId="2" applyFont="1" applyFill="1" applyAlignment="1">
      <alignment vertical="top" wrapText="1"/>
    </xf>
    <xf numFmtId="0" fontId="5" fillId="7" borderId="0" xfId="0" applyFont="1" applyFill="1" applyAlignment="1">
      <alignment horizontal="left" vertical="top" wrapText="1"/>
    </xf>
    <xf numFmtId="0" fontId="4" fillId="7" borderId="8" xfId="3" applyFont="1" applyFill="1" applyBorder="1" applyAlignment="1">
      <alignment horizontal="left" vertical="top" wrapText="1"/>
    </xf>
    <xf numFmtId="0" fontId="4" fillId="7" borderId="6" xfId="3" applyFont="1" applyFill="1" applyAlignment="1">
      <alignment horizontal="left" vertical="top" wrapText="1"/>
    </xf>
    <xf numFmtId="0" fontId="6" fillId="4" borderId="12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10" fillId="5" borderId="0" xfId="0" applyFont="1" applyFill="1" applyAlignment="1">
      <alignment horizontal="left"/>
    </xf>
  </cellXfs>
  <cellStyles count="4">
    <cellStyle name="Input" xfId="2" builtinId="20"/>
    <cellStyle name="Normal" xfId="0" builtinId="0"/>
    <cellStyle name="Note" xfId="3" builtinId="10"/>
    <cellStyle name="Percent" xfId="1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Common Reason</a:t>
            </a:r>
            <a:r>
              <a:rPr lang="en-US" sz="1600" b="1" baseline="0">
                <a:solidFill>
                  <a:sysClr val="windowText" lastClr="000000"/>
                </a:solidFill>
              </a:rPr>
              <a:t>s for Program Admission Denial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'Program Details'!$D$22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'Program Details'!$B$23:$B$28</c:f>
              <c:strCache>
                <c:ptCount val="6"/>
                <c:pt idx="0">
                  <c:v>Did Not Meet Criteria</c:v>
                </c:pt>
                <c:pt idx="1">
                  <c:v>Mandatory Prison Time</c:v>
                </c:pt>
                <c:pt idx="2">
                  <c:v>Violence of Charge</c:v>
                </c:pt>
                <c:pt idx="3">
                  <c:v>Conflict</c:v>
                </c:pt>
                <c:pt idx="4">
                  <c:v>No Treatment Needs</c:v>
                </c:pt>
                <c:pt idx="5">
                  <c:v>Risk Level</c:v>
                </c:pt>
              </c:strCache>
            </c:strRef>
          </c:cat>
          <c:val>
            <c:numRef>
              <c:f>'Program Details'!$D$23:$D$28</c:f>
              <c:numCache>
                <c:formatCode>0%</c:formatCode>
                <c:ptCount val="6"/>
                <c:pt idx="0">
                  <c:v>0.125</c:v>
                </c:pt>
                <c:pt idx="1">
                  <c:v>0.125</c:v>
                </c:pt>
                <c:pt idx="2">
                  <c:v>0.375</c:v>
                </c:pt>
                <c:pt idx="3">
                  <c:v>0.125</c:v>
                </c:pt>
                <c:pt idx="4">
                  <c:v>0.125</c:v>
                </c:pt>
                <c:pt idx="5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D8-4AF5-B547-8CED58EDD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 Admissions Denied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Participant Gender Breakdown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'Participant Demographics'!$F$24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'Participant Demographics'!$D$25:$D$29</c:f>
              <c:strCache>
                <c:ptCount val="5"/>
                <c:pt idx="0">
                  <c:v>Male</c:v>
                </c:pt>
                <c:pt idx="1">
                  <c:v>Female</c:v>
                </c:pt>
                <c:pt idx="2">
                  <c:v>Transgender</c:v>
                </c:pt>
                <c:pt idx="3">
                  <c:v>Non-Binary / 
Non-Gender Conforming</c:v>
                </c:pt>
                <c:pt idx="4">
                  <c:v>Prefer not to answer</c:v>
                </c:pt>
              </c:strCache>
            </c:strRef>
          </c:cat>
          <c:val>
            <c:numRef>
              <c:f>'Participant Demographics'!$F$25:$F$29</c:f>
              <c:numCache>
                <c:formatCode>0%</c:formatCode>
                <c:ptCount val="5"/>
                <c:pt idx="0">
                  <c:v>0.33333333333333331</c:v>
                </c:pt>
                <c:pt idx="1">
                  <c:v>0.38095238095238093</c:v>
                </c:pt>
                <c:pt idx="2">
                  <c:v>0.14285714285714285</c:v>
                </c:pt>
                <c:pt idx="3">
                  <c:v>4.7619047619047616E-2</c:v>
                </c:pt>
                <c:pt idx="4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CA-43E2-8103-BEE2F22108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1059440"/>
        <c:axId val="171060400"/>
      </c:barChart>
      <c:catAx>
        <c:axId val="1710594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60400"/>
        <c:crosses val="autoZero"/>
        <c:auto val="1"/>
        <c:lblAlgn val="ctr"/>
        <c:lblOffset val="100"/>
        <c:noMultiLvlLbl val="0"/>
      </c:catAx>
      <c:valAx>
        <c:axId val="171060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59440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Participant Gender by Age Group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'Participant Demographics'!$F$45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'Participant Demographics'!$D$46:$D$51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Demographics'!$F$46:$F$51</c:f>
              <c:numCache>
                <c:formatCode>0%</c:formatCode>
                <c:ptCount val="6"/>
                <c:pt idx="0">
                  <c:v>0.33333333333333331</c:v>
                </c:pt>
                <c:pt idx="1">
                  <c:v>0.2</c:v>
                </c:pt>
                <c:pt idx="2">
                  <c:v>0.7142857142857143</c:v>
                </c:pt>
                <c:pt idx="3">
                  <c:v>0</c:v>
                </c:pt>
                <c:pt idx="4">
                  <c:v>0.33333333333333331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4-46B4-BCCB-C8DD1A4B3B23}"/>
            </c:ext>
          </c:extLst>
        </c:ser>
        <c:ser>
          <c:idx val="1"/>
          <c:order val="1"/>
          <c:tx>
            <c:strRef>
              <c:f>'Participant Demographics'!$G$45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'Participant Demographics'!$D$46:$D$51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Demographics'!$G$46:$G$51</c:f>
              <c:numCache>
                <c:formatCode>0%</c:formatCode>
                <c:ptCount val="6"/>
                <c:pt idx="0">
                  <c:v>0.33333333333333331</c:v>
                </c:pt>
                <c:pt idx="1">
                  <c:v>0.5</c:v>
                </c:pt>
                <c:pt idx="2">
                  <c:v>0</c:v>
                </c:pt>
                <c:pt idx="3">
                  <c:v>1</c:v>
                </c:pt>
                <c:pt idx="4">
                  <c:v>0.33333333333333331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94-46B4-BCCB-C8DD1A4B3B23}"/>
            </c:ext>
          </c:extLst>
        </c:ser>
        <c:ser>
          <c:idx val="2"/>
          <c:order val="2"/>
          <c:tx>
            <c:strRef>
              <c:f>'Participant Demographics'!$H$45</c:f>
              <c:strCache>
                <c:ptCount val="1"/>
                <c:pt idx="0">
                  <c:v>Transgender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'Participant Demographics'!$D$46:$D$51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Demographics'!$H$46:$H$51</c:f>
              <c:numCache>
                <c:formatCode>0%</c:formatCode>
                <c:ptCount val="6"/>
                <c:pt idx="0">
                  <c:v>0.33333333333333331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0.33333333333333331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94-46B4-BCCB-C8DD1A4B3B23}"/>
            </c:ext>
          </c:extLst>
        </c:ser>
        <c:ser>
          <c:idx val="3"/>
          <c:order val="3"/>
          <c:tx>
            <c:strRef>
              <c:f>'Participant Demographics'!$I$45</c:f>
              <c:strCache>
                <c:ptCount val="1"/>
                <c:pt idx="0">
                  <c:v>Non-Binary / 
Non-Gender 
Conforming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'Participant Demographics'!$D$46:$D$51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Demographics'!$I$46:$I$51</c:f>
              <c:numCache>
                <c:formatCode>0%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94-46B4-BCCB-C8DD1A4B3B23}"/>
            </c:ext>
          </c:extLst>
        </c:ser>
        <c:ser>
          <c:idx val="4"/>
          <c:order val="4"/>
          <c:tx>
            <c:strRef>
              <c:f>'Participant Demographics'!$J$45</c:f>
              <c:strCache>
                <c:ptCount val="1"/>
                <c:pt idx="0">
                  <c:v>Prefer not 
to answer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'Participant Demographics'!$D$46:$D$51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Demographics'!$J$46:$J$51</c:f>
              <c:numCache>
                <c:formatCode>0%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0.2857142857142857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94-46B4-BCCB-C8DD1A4B3B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64341359"/>
        <c:axId val="2064332719"/>
      </c:barChart>
      <c:catAx>
        <c:axId val="20643413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332719"/>
        <c:crosses val="autoZero"/>
        <c:auto val="1"/>
        <c:lblAlgn val="ctr"/>
        <c:lblOffset val="100"/>
        <c:noMultiLvlLbl val="0"/>
      </c:catAx>
      <c:valAx>
        <c:axId val="2064332719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341359"/>
        <c:crosses val="max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559888347289926"/>
          <c:y val="7.9900396773893781E-2"/>
          <c:w val="0.5848338749323001"/>
          <c:h val="0.114252766026524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Participant Race Breakdown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Demographics'!$F$68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Demographics'!$D$69:$D$73</c:f>
              <c:strCache>
                <c:ptCount val="5"/>
                <c:pt idx="0">
                  <c:v>Asian</c:v>
                </c:pt>
                <c:pt idx="1">
                  <c:v>Black or African American</c:v>
                </c:pt>
                <c:pt idx="2">
                  <c:v>American Indian or Alaska Native</c:v>
                </c:pt>
                <c:pt idx="3">
                  <c:v>Native Hawaiian or Other Pacific Islander</c:v>
                </c:pt>
                <c:pt idx="4">
                  <c:v>White</c:v>
                </c:pt>
              </c:strCache>
            </c:strRef>
          </c:cat>
          <c:val>
            <c:numRef>
              <c:f>'Participant Demographics'!$F$69:$F$73</c:f>
              <c:numCache>
                <c:formatCode>0%</c:formatCode>
                <c:ptCount val="5"/>
                <c:pt idx="0">
                  <c:v>4.7619047619047616E-2</c:v>
                </c:pt>
                <c:pt idx="1">
                  <c:v>0.2857142857142857</c:v>
                </c:pt>
                <c:pt idx="2">
                  <c:v>4.7619047619047616E-2</c:v>
                </c:pt>
                <c:pt idx="3">
                  <c:v>4.7619047619047616E-2</c:v>
                </c:pt>
                <c:pt idx="4">
                  <c:v>0.5714285714285714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5D-4506-941D-F825CBB57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Participants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% of Total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075450982321035"/>
          <c:y val="0.22892273298206728"/>
          <c:w val="0.55875807360034446"/>
          <c:h val="0.70994413799274569"/>
        </c:manualLayout>
      </c:layout>
      <c:pieChart>
        <c:varyColors val="1"/>
        <c:ser>
          <c:idx val="0"/>
          <c:order val="0"/>
          <c:tx>
            <c:strRef>
              <c:f>'Participant Demographics'!$F$89</c:f>
              <c:strCache>
                <c:ptCount val="1"/>
                <c:pt idx="0">
                  <c:v>% of Total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18D-4DAC-9ACA-29DC7F7E6092}"/>
              </c:ext>
            </c:extLst>
          </c:dPt>
          <c:dPt>
            <c:idx val="1"/>
            <c:bubble3D val="0"/>
            <c:spPr>
              <a:solidFill>
                <a:schemeClr val="bg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18D-4DAC-9ACA-29DC7F7E6092}"/>
              </c:ext>
            </c:extLst>
          </c:dPt>
          <c:dPt>
            <c:idx val="2"/>
            <c:bubble3D val="0"/>
            <c:spPr>
              <a:solidFill>
                <a:srgbClr val="FFCE3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18D-4DAC-9ACA-29DC7F7E6092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4A3DFB8-9CDD-4724-8BCB-8C2B1A8668EE}" type="VALUE">
                      <a:rPr lang="en-US" sz="1400"/>
                      <a:pPr/>
                      <a:t>[VALUE]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18D-4DAC-9ACA-29DC7F7E60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EEFF3A1-3C44-4E58-9A66-6AD1A4024FD7}" type="VALUE">
                      <a:rPr lang="en-US" sz="1400"/>
                      <a:pPr/>
                      <a:t>[VALUE]</a:t>
                    </a:fld>
                    <a:endParaRPr lang="en-US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18D-4DAC-9ACA-29DC7F7E60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'Participant Demographics'!$D$90:$D$91</c:f>
              <c:strCache>
                <c:ptCount val="2"/>
                <c:pt idx="0">
                  <c:v>Hispanic or Latino</c:v>
                </c:pt>
                <c:pt idx="1">
                  <c:v>Not Hispanic or Latino</c:v>
                </c:pt>
              </c:strCache>
            </c:strRef>
          </c:cat>
          <c:val>
            <c:numRef>
              <c:f>'Participant Demographics'!$F$90:$F$91</c:f>
              <c:numCache>
                <c:formatCode>0%</c:formatCode>
                <c:ptCount val="2"/>
                <c:pt idx="0">
                  <c:v>9.5238095238095233E-2</c:v>
                </c:pt>
                <c:pt idx="1">
                  <c:v>0.90476190476190477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18D-4DAC-9ACA-29DC7F7E6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2022673213505273"/>
          <c:y val="0.43262913758310961"/>
          <c:w val="0.27977329674426299"/>
          <c:h val="0.174586414676422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Highest Charge by Level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'Participant Charges'!$D$3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Charges'!$B$4:$B$13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Charges'!$D$4:$D$13</c:f>
              <c:numCache>
                <c:formatCode>0%</c:formatCode>
                <c:ptCount val="10"/>
                <c:pt idx="0">
                  <c:v>0</c:v>
                </c:pt>
                <c:pt idx="1">
                  <c:v>0.42857142857142855</c:v>
                </c:pt>
                <c:pt idx="2">
                  <c:v>0.33333333333333331</c:v>
                </c:pt>
                <c:pt idx="3">
                  <c:v>4.7619047619047616E-2</c:v>
                </c:pt>
                <c:pt idx="4">
                  <c:v>0.19047619047619047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4F-4781-9818-DEEE1B352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1059440"/>
        <c:axId val="171060400"/>
      </c:barChart>
      <c:catAx>
        <c:axId val="1710594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60400"/>
        <c:crosses val="autoZero"/>
        <c:auto val="1"/>
        <c:lblAlgn val="ctr"/>
        <c:lblOffset val="100"/>
        <c:noMultiLvlLbl val="0"/>
      </c:catAx>
      <c:valAx>
        <c:axId val="171060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59440"/>
        <c:crosses val="max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Highest</a:t>
            </a:r>
            <a:r>
              <a:rPr lang="en-US" sz="1600" b="1" baseline="0">
                <a:solidFill>
                  <a:sysClr val="windowText" lastClr="000000"/>
                </a:solidFill>
              </a:rPr>
              <a:t> Charge by Types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Charges'!$D$27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Charges'!$B$28:$B$34</c:f>
              <c:strCache>
                <c:ptCount val="7"/>
                <c:pt idx="0">
                  <c:v>possession</c:v>
                </c:pt>
                <c:pt idx="1">
                  <c:v>theft</c:v>
                </c:pt>
                <c:pt idx="2">
                  <c:v>trafficking/sales</c:v>
                </c:pt>
                <c:pt idx="3">
                  <c:v>domestic violence</c:v>
                </c:pt>
                <c:pt idx="4">
                  <c:v>assault</c:v>
                </c:pt>
                <c:pt idx="5">
                  <c:v>DUI/DWI</c:v>
                </c:pt>
                <c:pt idx="6">
                  <c:v>weapons</c:v>
                </c:pt>
              </c:strCache>
            </c:strRef>
          </c:cat>
          <c:val>
            <c:numRef>
              <c:f>'Participant Charges'!$D$28:$D$34</c:f>
              <c:numCache>
                <c:formatCode>0%</c:formatCode>
                <c:ptCount val="7"/>
                <c:pt idx="0">
                  <c:v>4.7619047619047616E-2</c:v>
                </c:pt>
                <c:pt idx="1">
                  <c:v>0.14285714285714285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0.19047619047619047</c:v>
                </c:pt>
                <c:pt idx="6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BB-4FB2-B8A9-DD62238E2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46821407"/>
        <c:axId val="1946821887"/>
      </c:barChart>
      <c:catAx>
        <c:axId val="1946821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6821887"/>
        <c:crosses val="autoZero"/>
        <c:auto val="1"/>
        <c:lblAlgn val="ctr"/>
        <c:lblOffset val="100"/>
        <c:noMultiLvlLbl val="0"/>
      </c:catAx>
      <c:valAx>
        <c:axId val="1946821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Count of Participants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6821407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Offense Classification by Charge Level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'Participant Charges'!$D$47</c:f>
              <c:strCache>
                <c:ptCount val="1"/>
                <c:pt idx="0">
                  <c:v>possession</c:v>
                </c:pt>
              </c:strCache>
            </c:strRef>
          </c:tx>
          <c:spPr>
            <a:solidFill>
              <a:schemeClr val="tx2">
                <a:lumMod val="75000"/>
                <a:lumOff val="2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C2-4D10-BD14-B71F2E1B69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C2-4D10-BD14-B71F2E1B69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C2-4D10-BD14-B71F2E1B69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6C2-4D10-BD14-B71F2E1B691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74119BD-2A6B-40EF-BAE9-C939FA941FA8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B-A6C2-4D10-BD14-B71F2E1B691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6C2-4D10-BD14-B71F2E1B691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6C2-4D10-BD14-B71F2E1B691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6C2-4D10-BD14-B71F2E1B691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6C2-4D10-BD14-B71F2E1B691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Charges'!$D$48:$D$57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D8A-43B2-962B-12B811E37640}"/>
            </c:ext>
          </c:extLst>
        </c:ser>
        <c:ser>
          <c:idx val="1"/>
          <c:order val="1"/>
          <c:tx>
            <c:strRef>
              <c:f>'Participant Charges'!$E$47</c:f>
              <c:strCache>
                <c:ptCount val="1"/>
                <c:pt idx="0">
                  <c:v>theft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fld id="{ADAA6901-CACC-44C8-A3EA-7C8DD324E130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Charges'!$E$48:$E$57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8A-43B2-962B-12B811E37640}"/>
            </c:ext>
          </c:extLst>
        </c:ser>
        <c:ser>
          <c:idx val="2"/>
          <c:order val="2"/>
          <c:tx>
            <c:strRef>
              <c:f>'Participant Charges'!$F$47</c:f>
              <c:strCache>
                <c:ptCount val="1"/>
                <c:pt idx="0">
                  <c:v>trafficking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30E57937-438C-4493-AA01-E4124AE9D844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Charges'!$F$48:$F$57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D8A-43B2-962B-12B811E37640}"/>
            </c:ext>
          </c:extLst>
        </c:ser>
        <c:ser>
          <c:idx val="3"/>
          <c:order val="3"/>
          <c:tx>
            <c:strRef>
              <c:f>'Participant Charges'!$G$47</c:f>
              <c:strCache>
                <c:ptCount val="1"/>
                <c:pt idx="0">
                  <c:v>domestic violence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fld id="{DCD02FB7-9496-4B80-875E-1E22CAD0C708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Charges'!$G$48:$G$57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0.5714285714285714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D8A-43B2-962B-12B811E37640}"/>
            </c:ext>
          </c:extLst>
        </c:ser>
        <c:ser>
          <c:idx val="4"/>
          <c:order val="4"/>
          <c:tx>
            <c:strRef>
              <c:f>'Participant Charges'!$H$47</c:f>
              <c:strCache>
                <c:ptCount val="1"/>
                <c:pt idx="0">
                  <c:v>assault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C2-4D10-BD14-B71F2E1B691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BA8B4EF-F597-4CE9-AD94-223A1032A0D4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6-A6C2-4D10-BD14-B71F2E1B69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6C2-4D10-BD14-B71F2E1B69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6C2-4D10-BD14-B71F2E1B69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A6C2-4D10-BD14-B71F2E1B691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6C2-4D10-BD14-B71F2E1B691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6C2-4D10-BD14-B71F2E1B691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6C2-4D10-BD14-B71F2E1B691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6C2-4D10-BD14-B71F2E1B691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Charges'!$H$48:$H$57</c:f>
              <c:numCache>
                <c:formatCode>0%</c:formatCode>
                <c:ptCount val="10"/>
                <c:pt idx="0">
                  <c:v>0</c:v>
                </c:pt>
                <c:pt idx="1">
                  <c:v>0.22222222222222221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D8A-43B2-962B-12B811E37640}"/>
            </c:ext>
          </c:extLst>
        </c:ser>
        <c:ser>
          <c:idx val="5"/>
          <c:order val="5"/>
          <c:tx>
            <c:strRef>
              <c:f>'Participant Charges'!$I$47</c:f>
              <c:strCache>
                <c:ptCount val="1"/>
                <c:pt idx="0">
                  <c:v>DUI/DWI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A6C2-4D10-BD14-B71F2E1B691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372AD0F8-2714-4EE3-8F92-26549146D832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9-A6C2-4D10-BD14-B71F2E1B691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F6B10750-7136-406F-B1A9-8AC46594FDF0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A-A6C2-4D10-BD14-B71F2E1B69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Charges'!$I$48:$I$57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0.42857142857142855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D8A-43B2-962B-12B811E37640}"/>
            </c:ext>
          </c:extLst>
        </c:ser>
        <c:ser>
          <c:idx val="6"/>
          <c:order val="6"/>
          <c:tx>
            <c:strRef>
              <c:f>'Participant Charges'!$J$47</c:f>
              <c:strCache>
                <c:ptCount val="1"/>
                <c:pt idx="0">
                  <c:v>weapons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dLbl>
              <c:idx val="1"/>
              <c:tx>
                <c:rich>
                  <a:bodyPr/>
                  <a:lstStyle/>
                  <a:p>
                    <a:fld id="{B729B097-B508-4F74-B514-54B8E3A05EBC}" type="VALUE">
                      <a:rPr lang="en-US" b="1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7-A6C2-4D10-BD14-B71F2E1B69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6C2-4D10-BD14-B71F2E1B69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A6C2-4D10-BD14-B71F2E1B69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A6C2-4D10-BD14-B71F2E1B69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'Participant Charges'!$B$48:$B$57</c:f>
              <c:strCache>
                <c:ptCount val="10"/>
                <c:pt idx="0">
                  <c:v>felony 1</c:v>
                </c:pt>
                <c:pt idx="1">
                  <c:v>felony 2</c:v>
                </c:pt>
                <c:pt idx="2">
                  <c:v>felony 3</c:v>
                </c:pt>
                <c:pt idx="3">
                  <c:v>felony 4</c:v>
                </c:pt>
                <c:pt idx="4">
                  <c:v>felony 5</c:v>
                </c:pt>
                <c:pt idx="5">
                  <c:v>misdemeanor 1</c:v>
                </c:pt>
                <c:pt idx="6">
                  <c:v>misdemeanor 2</c:v>
                </c:pt>
                <c:pt idx="7">
                  <c:v>misdemeanor 3</c:v>
                </c:pt>
                <c:pt idx="8">
                  <c:v>misdemeanor 4</c:v>
                </c:pt>
                <c:pt idx="9">
                  <c:v>minor misdemeanor </c:v>
                </c:pt>
              </c:strCache>
            </c:strRef>
          </c:cat>
          <c:val>
            <c:numRef>
              <c:f>'Participant Charges'!$J$48:$J$57</c:f>
              <c:numCache>
                <c:formatCode>0%</c:formatCode>
                <c:ptCount val="10"/>
                <c:pt idx="0">
                  <c:v>0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D8A-43B2-962B-12B811E37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64341359"/>
        <c:axId val="2064332719"/>
      </c:barChart>
      <c:catAx>
        <c:axId val="20643413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332719"/>
        <c:crosses val="autoZero"/>
        <c:auto val="1"/>
        <c:lblAlgn val="ctr"/>
        <c:lblOffset val="100"/>
        <c:noMultiLvlLbl val="0"/>
      </c:catAx>
      <c:valAx>
        <c:axId val="2064332719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4341359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0.20559888347289926"/>
          <c:y val="7.9900396773893781E-2"/>
          <c:w val="0.5848338749323001"/>
          <c:h val="0.114252766026524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Comparison of Incentives and Sanctions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210273644483638"/>
          <c:y val="0.12702079277111136"/>
          <c:w val="0.61739976262569685"/>
          <c:h val="0.79046396953582487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4F7-4C75-A73A-7E5B9331A920}"/>
              </c:ext>
            </c:extLst>
          </c:dPt>
          <c:dPt>
            <c:idx val="1"/>
            <c:bubble3D val="0"/>
            <c:spPr>
              <a:solidFill>
                <a:schemeClr val="bg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4F7-4C75-A73A-7E5B9331A920}"/>
              </c:ext>
            </c:extLst>
          </c:dPt>
          <c:dPt>
            <c:idx val="2"/>
            <c:bubble3D val="0"/>
            <c:spPr>
              <a:solidFill>
                <a:srgbClr val="FFCE3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04F7-4C75-A73A-7E5B9331A92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'Participant Performance'!$D$81:$D$82</c:f>
              <c:strCache>
                <c:ptCount val="2"/>
                <c:pt idx="0">
                  <c:v>Incentives</c:v>
                </c:pt>
                <c:pt idx="1">
                  <c:v>Sanctions</c:v>
                </c:pt>
              </c:strCache>
            </c:strRef>
          </c:cat>
          <c:val>
            <c:numRef>
              <c:f>'Participant Performance'!$E$81:$E$82</c:f>
              <c:numCache>
                <c:formatCode>General</c:formatCode>
                <c:ptCount val="2"/>
                <c:pt idx="0">
                  <c:v>1170</c:v>
                </c:pt>
                <c:pt idx="1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F7-4C75-A73A-7E5B9331A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9267857527257368"/>
          <c:y val="0.41779773760898076"/>
          <c:w val="0.15559357622670048"/>
          <c:h val="0.164693910154600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Court Attendance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Performance'!$F$4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'Participant Performance'!$D$5:$D$9</c:f>
              <c:strCache>
                <c:ptCount val="5"/>
                <c:pt idx="0">
                  <c:v>5 or fewer</c:v>
                </c:pt>
                <c:pt idx="1">
                  <c:v>6 to 10</c:v>
                </c:pt>
                <c:pt idx="2">
                  <c:v>11 to 15</c:v>
                </c:pt>
                <c:pt idx="3">
                  <c:v>16 to 20</c:v>
                </c:pt>
                <c:pt idx="4">
                  <c:v>21 or more</c:v>
                </c:pt>
              </c:strCache>
            </c:strRef>
          </c:cat>
          <c:val>
            <c:numRef>
              <c:f>'Participant Performance'!$F$5:$F$9</c:f>
              <c:numCache>
                <c:formatCode>0%</c:formatCode>
                <c:ptCount val="5"/>
                <c:pt idx="0">
                  <c:v>0.23809523809523808</c:v>
                </c:pt>
                <c:pt idx="1">
                  <c:v>0.38095238095238093</c:v>
                </c:pt>
                <c:pt idx="2">
                  <c:v>0.14285714285714285</c:v>
                </c:pt>
                <c:pt idx="3">
                  <c:v>4.7619047619047616E-2</c:v>
                </c:pt>
                <c:pt idx="4">
                  <c:v>0.19047619047619047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84-4978-AE26-F186488EC6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 Admissions Denied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# of Violations</a:t>
            </a:r>
            <a:r>
              <a:rPr lang="en-US" sz="1600" b="1" baseline="0">
                <a:solidFill>
                  <a:sysClr val="windowText" lastClr="000000"/>
                </a:solidFill>
              </a:rPr>
              <a:t> = Hearings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Performance'!$F$25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'Participant Performance'!$D$26:$D$31</c:f>
              <c:strCache>
                <c:ptCount val="6"/>
                <c:pt idx="0">
                  <c:v>None</c:v>
                </c:pt>
                <c:pt idx="1">
                  <c:v>1 to 5</c:v>
                </c:pt>
                <c:pt idx="2">
                  <c:v>6 to 10</c:v>
                </c:pt>
                <c:pt idx="3">
                  <c:v>11 to 15</c:v>
                </c:pt>
                <c:pt idx="4">
                  <c:v>16 to 20</c:v>
                </c:pt>
                <c:pt idx="5">
                  <c:v>21 or more</c:v>
                </c:pt>
              </c:strCache>
            </c:strRef>
          </c:cat>
          <c:val>
            <c:numRef>
              <c:f>'Participant Performance'!$F$26:$F$31</c:f>
              <c:numCache>
                <c:formatCode>0%</c:formatCode>
                <c:ptCount val="6"/>
                <c:pt idx="0">
                  <c:v>4.7619047619047616E-2</c:v>
                </c:pt>
                <c:pt idx="1">
                  <c:v>0.38095238095238093</c:v>
                </c:pt>
                <c:pt idx="2">
                  <c:v>0.52380952380952384</c:v>
                </c:pt>
                <c:pt idx="3">
                  <c:v>4.7619047619047616E-2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91-46F8-83B1-EA99CFB13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 Admissions Denied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Program Admission of Eligible Persons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'Program Details'!$C$4</c:f>
              <c:strCache>
                <c:ptCount val="1"/>
                <c:pt idx="0">
                  <c:v>Count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670-4E28-B66C-C13F06E9B20B}"/>
              </c:ext>
            </c:extLst>
          </c:dPt>
          <c:dPt>
            <c:idx val="1"/>
            <c:bubble3D val="0"/>
            <c:spPr>
              <a:solidFill>
                <a:schemeClr val="bg2">
                  <a:lumMod val="5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55-4903-B284-61360DB7EF66}"/>
              </c:ext>
            </c:extLst>
          </c:dPt>
          <c:dPt>
            <c:idx val="2"/>
            <c:bubble3D val="0"/>
            <c:spPr>
              <a:solidFill>
                <a:srgbClr val="FFCE3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355-4903-B284-61360DB7EF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'Program Details'!$B$5:$B$7</c:f>
              <c:strCache>
                <c:ptCount val="3"/>
                <c:pt idx="0">
                  <c:v>Accepted</c:v>
                </c:pt>
                <c:pt idx="1">
                  <c:v>Declined</c:v>
                </c:pt>
                <c:pt idx="2">
                  <c:v>Opted Out</c:v>
                </c:pt>
              </c:strCache>
            </c:strRef>
          </c:cat>
          <c:val>
            <c:numRef>
              <c:f>'Program Details'!$C$5:$C$7</c:f>
              <c:numCache>
                <c:formatCode>General</c:formatCode>
                <c:ptCount val="3"/>
                <c:pt idx="0">
                  <c:v>42</c:v>
                </c:pt>
                <c:pt idx="1">
                  <c:v>8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55-4903-B284-61360DB7EF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946198929434882"/>
          <c:y val="0.43262913758310961"/>
          <c:w val="0.15559357622670048"/>
          <c:h val="0.20325529441977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Participant Drug Screen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Performance'!$D$44</c:f>
              <c:strCache>
                <c:ptCount val="1"/>
                <c:pt idx="0">
                  <c:v>Negative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35DBD8B-6CF8-4500-ABA2-1DE0F6FA90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2240-4C36-B87C-485E7E4BAB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'Participant Performance'!$E$43</c:f>
              <c:strCache>
                <c:ptCount val="1"/>
                <c:pt idx="0">
                  <c:v>Results</c:v>
                </c:pt>
              </c:strCache>
            </c:strRef>
          </c:cat>
          <c:val>
            <c:numRef>
              <c:f>'Participant Performance'!$E$44</c:f>
              <c:numCache>
                <c:formatCode>General</c:formatCode>
                <c:ptCount val="1"/>
                <c:pt idx="0">
                  <c:v>352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'Participant Performance'!$G$44</c15:f>
                <c15:dlblRangeCache>
                  <c:ptCount val="1"/>
                  <c:pt idx="0">
                    <c:v>352 (70%)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2240-4C36-B87C-485E7E4BABC9}"/>
            </c:ext>
          </c:extLst>
        </c:ser>
        <c:ser>
          <c:idx val="1"/>
          <c:order val="1"/>
          <c:tx>
            <c:strRef>
              <c:f>'Participant Performance'!$D$45</c:f>
              <c:strCache>
                <c:ptCount val="1"/>
                <c:pt idx="0">
                  <c:v>Positive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F0373752-14FD-4483-87CD-866A91AF97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2240-4C36-B87C-485E7E4BAB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Ref>
              <c:f>'Participant Performance'!$E$43</c:f>
              <c:strCache>
                <c:ptCount val="1"/>
                <c:pt idx="0">
                  <c:v>Results</c:v>
                </c:pt>
              </c:strCache>
            </c:strRef>
          </c:cat>
          <c:val>
            <c:numRef>
              <c:f>'Participant Performance'!$E$45</c:f>
              <c:numCache>
                <c:formatCode>General</c:formatCode>
                <c:ptCount val="1"/>
                <c:pt idx="0">
                  <c:v>152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'Participant Performance'!$G$45</c15:f>
                <c15:dlblRangeCache>
                  <c:ptCount val="1"/>
                  <c:pt idx="0">
                    <c:v>152 (30%)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2240-4C36-B87C-485E7E4BA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637215"/>
        <c:axId val="1745640095"/>
      </c:barChart>
      <c:catAx>
        <c:axId val="1745637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40095"/>
        <c:crosses val="autoZero"/>
        <c:auto val="1"/>
        <c:lblAlgn val="ctr"/>
        <c:lblOffset val="100"/>
        <c:noMultiLvlLbl val="0"/>
      </c:catAx>
      <c:valAx>
        <c:axId val="1745640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372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# of Positive Drug Screens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Performance'!$F$62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'Participant Performance'!$D$63:$D$66</c:f>
              <c:strCache>
                <c:ptCount val="4"/>
                <c:pt idx="0">
                  <c:v>2 or fewer</c:v>
                </c:pt>
                <c:pt idx="1">
                  <c:v>3 to 5</c:v>
                </c:pt>
                <c:pt idx="2">
                  <c:v>6 to 8</c:v>
                </c:pt>
                <c:pt idx="3">
                  <c:v>9 or more</c:v>
                </c:pt>
              </c:strCache>
            </c:strRef>
          </c:cat>
          <c:val>
            <c:numRef>
              <c:f>'Participant Performance'!$F$63:$F$66</c:f>
              <c:numCache>
                <c:formatCode>0%</c:formatCode>
                <c:ptCount val="4"/>
                <c:pt idx="0">
                  <c:v>0.23809523809523808</c:v>
                </c:pt>
                <c:pt idx="1">
                  <c:v>0.61904761904761907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8-47D6-8267-6B3E39161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 Admissions Denied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Recovery</a:t>
            </a:r>
            <a:r>
              <a:rPr lang="en-US" sz="1600" b="1" baseline="0">
                <a:solidFill>
                  <a:sysClr val="windowText" lastClr="000000"/>
                </a:solidFill>
              </a:rPr>
              <a:t> Supports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Performance'!$E$101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D29-416F-9E11-7831EFCC440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2D29-416F-9E11-7831EFCC440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2D29-416F-9E11-7831EFCC440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2D29-416F-9E11-7831EFCC44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'Participant Performance'!$D$102:$D$105</c:f>
              <c:strCache>
                <c:ptCount val="4"/>
                <c:pt idx="0">
                  <c:v>Medication Compliance</c:v>
                </c:pt>
                <c:pt idx="1">
                  <c:v>Peer Support Connection</c:v>
                </c:pt>
                <c:pt idx="2">
                  <c:v>Individual Counseling Completed</c:v>
                </c:pt>
                <c:pt idx="3">
                  <c:v>Aftercare Plan Completed</c:v>
                </c:pt>
              </c:strCache>
            </c:strRef>
          </c:cat>
          <c:val>
            <c:numRef>
              <c:f>'Participant Performance'!$E$102:$E$105</c:f>
              <c:numCache>
                <c:formatCode>General</c:formatCode>
                <c:ptCount val="4"/>
                <c:pt idx="0">
                  <c:v>24</c:v>
                </c:pt>
                <c:pt idx="1">
                  <c:v>36</c:v>
                </c:pt>
                <c:pt idx="2">
                  <c:v>8</c:v>
                </c:pt>
                <c:pt idx="3">
                  <c:v>30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'Participant Performance'!$G$44</c15:f>
                <c15:dlblRangeCache>
                  <c:ptCount val="1"/>
                  <c:pt idx="0">
                    <c:v>352 (70%)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2D29-416F-9E11-7831EFCC440D}"/>
            </c:ext>
          </c:extLst>
        </c:ser>
        <c:ser>
          <c:idx val="1"/>
          <c:order val="1"/>
          <c:tx>
            <c:strRef>
              <c:f>'Participant Performance'!$F$101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'Participant Performance'!$D$102:$D$105</c:f>
              <c:strCache>
                <c:ptCount val="4"/>
                <c:pt idx="0">
                  <c:v>Medication Compliance</c:v>
                </c:pt>
                <c:pt idx="1">
                  <c:v>Peer Support Connection</c:v>
                </c:pt>
                <c:pt idx="2">
                  <c:v>Individual Counseling Completed</c:v>
                </c:pt>
                <c:pt idx="3">
                  <c:v>Aftercare Plan Completed</c:v>
                </c:pt>
              </c:strCache>
            </c:strRef>
          </c:cat>
          <c:val>
            <c:numRef>
              <c:f>'Participant Performance'!$F$102:$F$105</c:f>
              <c:numCache>
                <c:formatCode>General</c:formatCode>
                <c:ptCount val="4"/>
                <c:pt idx="0">
                  <c:v>12</c:v>
                </c:pt>
                <c:pt idx="1">
                  <c:v>6</c:v>
                </c:pt>
                <c:pt idx="2">
                  <c:v>34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D29-416F-9E11-7831EFCC440D}"/>
            </c:ext>
          </c:extLst>
        </c:ser>
        <c:ser>
          <c:idx val="2"/>
          <c:order val="2"/>
          <c:tx>
            <c:strRef>
              <c:f>'Participant Performance'!$G$101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cat>
            <c:strRef>
              <c:f>'Participant Performance'!$D$102:$D$105</c:f>
              <c:strCache>
                <c:ptCount val="4"/>
                <c:pt idx="0">
                  <c:v>Medication Compliance</c:v>
                </c:pt>
                <c:pt idx="1">
                  <c:v>Peer Support Connection</c:v>
                </c:pt>
                <c:pt idx="2">
                  <c:v>Individual Counseling Completed</c:v>
                </c:pt>
                <c:pt idx="3">
                  <c:v>Aftercare Plan Completed</c:v>
                </c:pt>
              </c:strCache>
            </c:strRef>
          </c:cat>
          <c:val>
            <c:numRef>
              <c:f>'Participant Performance'!$G$102:$G$105</c:f>
              <c:numCache>
                <c:formatCode>General</c:formatCode>
                <c:ptCount val="4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29-416F-9E11-7831EFCC4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637215"/>
        <c:axId val="1745640095"/>
      </c:barChart>
      <c:catAx>
        <c:axId val="1745637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40095"/>
        <c:crosses val="autoZero"/>
        <c:auto val="1"/>
        <c:lblAlgn val="ctr"/>
        <c:lblOffset val="100"/>
        <c:noMultiLvlLbl val="0"/>
      </c:catAx>
      <c:valAx>
        <c:axId val="1745640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37215"/>
        <c:crosses val="autoZero"/>
        <c:crossBetween val="between"/>
      </c:valAx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Ancilliary Services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Performance'!$E$120</c:f>
              <c:strCache>
                <c:ptCount val="1"/>
                <c:pt idx="0">
                  <c:v>Yes</c:v>
                </c:pt>
              </c:strCache>
            </c:strRef>
          </c:tx>
          <c:invertIfNegative val="0"/>
          <c:cat>
            <c:strRef>
              <c:f>'Participant Performance'!$D$121:$D$125</c:f>
              <c:strCache>
                <c:ptCount val="5"/>
                <c:pt idx="0">
                  <c:v>Reliable Transportation</c:v>
                </c:pt>
                <c:pt idx="1">
                  <c:v>Safe Housing Secured</c:v>
                </c:pt>
                <c:pt idx="2">
                  <c:v>Employment Obtained</c:v>
                </c:pt>
                <c:pt idx="3">
                  <c:v>Enrolled in College</c:v>
                </c:pt>
                <c:pt idx="4">
                  <c:v>Enrolled in Work Training Program</c:v>
                </c:pt>
              </c:strCache>
            </c:strRef>
          </c:cat>
          <c:val>
            <c:numRef>
              <c:f>'Participant Performance'!$E$121:$E$125</c:f>
              <c:numCache>
                <c:formatCode>General</c:formatCode>
                <c:ptCount val="5"/>
                <c:pt idx="0">
                  <c:v>25</c:v>
                </c:pt>
                <c:pt idx="1">
                  <c:v>12</c:v>
                </c:pt>
                <c:pt idx="2">
                  <c:v>10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8B-4CC7-8331-C288E58D6E3C}"/>
            </c:ext>
          </c:extLst>
        </c:ser>
        <c:ser>
          <c:idx val="1"/>
          <c:order val="1"/>
          <c:tx>
            <c:strRef>
              <c:f>'Participant Performance'!$F$120</c:f>
              <c:strCache>
                <c:ptCount val="1"/>
                <c:pt idx="0">
                  <c:v>No</c:v>
                </c:pt>
              </c:strCache>
            </c:strRef>
          </c:tx>
          <c:invertIfNegative val="0"/>
          <c:cat>
            <c:strRef>
              <c:f>'Participant Performance'!$D$121:$D$125</c:f>
              <c:strCache>
                <c:ptCount val="5"/>
                <c:pt idx="0">
                  <c:v>Reliable Transportation</c:v>
                </c:pt>
                <c:pt idx="1">
                  <c:v>Safe Housing Secured</c:v>
                </c:pt>
                <c:pt idx="2">
                  <c:v>Employment Obtained</c:v>
                </c:pt>
                <c:pt idx="3">
                  <c:v>Enrolled in College</c:v>
                </c:pt>
                <c:pt idx="4">
                  <c:v>Enrolled in Work Training Program</c:v>
                </c:pt>
              </c:strCache>
            </c:strRef>
          </c:cat>
          <c:val>
            <c:numRef>
              <c:f>'Participant Performance'!$F$121:$F$125</c:f>
              <c:numCache>
                <c:formatCode>General</c:formatCode>
                <c:ptCount val="5"/>
                <c:pt idx="0">
                  <c:v>17</c:v>
                </c:pt>
                <c:pt idx="1">
                  <c:v>30</c:v>
                </c:pt>
                <c:pt idx="2">
                  <c:v>30</c:v>
                </c:pt>
                <c:pt idx="3">
                  <c:v>0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D8B-4CC7-8331-C288E58D6E3C}"/>
            </c:ext>
          </c:extLst>
        </c:ser>
        <c:ser>
          <c:idx val="2"/>
          <c:order val="2"/>
          <c:tx>
            <c:strRef>
              <c:f>'Participant Performance'!$G$120</c:f>
              <c:strCache>
                <c:ptCount val="1"/>
                <c:pt idx="0">
                  <c:v>N/A</c:v>
                </c:pt>
              </c:strCache>
            </c:strRef>
          </c:tx>
          <c:invertIfNegative val="0"/>
          <c:cat>
            <c:strRef>
              <c:f>'Participant Performance'!$D$121:$D$125</c:f>
              <c:strCache>
                <c:ptCount val="5"/>
                <c:pt idx="0">
                  <c:v>Reliable Transportation</c:v>
                </c:pt>
                <c:pt idx="1">
                  <c:v>Safe Housing Secured</c:v>
                </c:pt>
                <c:pt idx="2">
                  <c:v>Employment Obtained</c:v>
                </c:pt>
                <c:pt idx="3">
                  <c:v>Enrolled in College</c:v>
                </c:pt>
                <c:pt idx="4">
                  <c:v>Enrolled in Work Training Program</c:v>
                </c:pt>
              </c:strCache>
            </c:strRef>
          </c:cat>
          <c:val>
            <c:numRef>
              <c:f>'Participant Performance'!$G$121:$G$125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38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8B-4CC7-8331-C288E58D6E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637215"/>
        <c:axId val="1745640095"/>
      </c:barChart>
      <c:catAx>
        <c:axId val="17456372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40095"/>
        <c:crosses val="autoZero"/>
        <c:auto val="1"/>
        <c:lblAlgn val="ctr"/>
        <c:lblOffset val="100"/>
        <c:noMultiLvlLbl val="0"/>
      </c:catAx>
      <c:valAx>
        <c:axId val="1745640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5637215"/>
        <c:crosses val="autoZero"/>
        <c:crossBetween val="between"/>
      </c:valAx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Total Recidivism Rate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Recidivism!$E$20</c:f>
              <c:strCache>
                <c:ptCount val="1"/>
                <c:pt idx="0">
                  <c:v>Total Recidivism 
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Recidivism!$B$21:$B$24</c:f>
              <c:strCache>
                <c:ptCount val="4"/>
                <c:pt idx="0">
                  <c:v>6 months</c:v>
                </c:pt>
                <c:pt idx="1">
                  <c:v>1 year</c:v>
                </c:pt>
                <c:pt idx="2">
                  <c:v>3 years</c:v>
                </c:pt>
                <c:pt idx="3">
                  <c:v>5 years</c:v>
                </c:pt>
              </c:strCache>
            </c:strRef>
          </c:cat>
          <c:val>
            <c:numRef>
              <c:f>Recidivism!$E$21:$E$24</c:f>
              <c:numCache>
                <c:formatCode>0%</c:formatCode>
                <c:ptCount val="4"/>
                <c:pt idx="0">
                  <c:v>0.33333333333333331</c:v>
                </c:pt>
                <c:pt idx="1">
                  <c:v>0.375</c:v>
                </c:pt>
                <c:pt idx="2">
                  <c:v>0.25</c:v>
                </c:pt>
                <c:pt idx="3">
                  <c:v>0.13793103448275862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5B-40B9-B3E2-AD09CDC627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</a:t>
                </a:r>
                <a:r>
                  <a:rPr lang="en-US" sz="1200" baseline="0">
                    <a:solidFill>
                      <a:sysClr val="windowText" lastClr="000000"/>
                    </a:solidFill>
                  </a:rPr>
                  <a:t> Participants</a:t>
                </a:r>
                <a:endParaRPr lang="en-US" sz="12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max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Post-</a:t>
            </a:r>
            <a:r>
              <a:rPr lang="en-US" sz="1600" b="1" baseline="0">
                <a:solidFill>
                  <a:sysClr val="windowText" lastClr="000000"/>
                </a:solidFill>
              </a:rPr>
              <a:t> Graduation Charge Classifications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Recidivism!$D$40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Recidivism!$B$41:$B$48</c:f>
              <c:strCache>
                <c:ptCount val="8"/>
                <c:pt idx="0">
                  <c:v>drug possession</c:v>
                </c:pt>
                <c:pt idx="1">
                  <c:v>trafficking/sales</c:v>
                </c:pt>
                <c:pt idx="2">
                  <c:v>assault</c:v>
                </c:pt>
                <c:pt idx="3">
                  <c:v>domestic violence</c:v>
                </c:pt>
                <c:pt idx="4">
                  <c:v>OVI/DUI</c:v>
                </c:pt>
                <c:pt idx="5">
                  <c:v>gun-related charge</c:v>
                </c:pt>
                <c:pt idx="6">
                  <c:v>theft</c:v>
                </c:pt>
                <c:pt idx="7">
                  <c:v>property damage</c:v>
                </c:pt>
              </c:strCache>
            </c:strRef>
          </c:cat>
          <c:val>
            <c:numRef>
              <c:f>Recidivism!$D$41:$D$48</c:f>
              <c:numCache>
                <c:formatCode>0%</c:formatCode>
                <c:ptCount val="8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0.25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89-4646-ABFD-3DAD0E25D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1059440"/>
        <c:axId val="171060400"/>
      </c:barChart>
      <c:catAx>
        <c:axId val="1710594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60400"/>
        <c:crosses val="autoZero"/>
        <c:auto val="1"/>
        <c:lblAlgn val="ctr"/>
        <c:lblOffset val="100"/>
        <c:noMultiLvlLbl val="0"/>
      </c:catAx>
      <c:valAx>
        <c:axId val="171060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059440"/>
        <c:crosses val="max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Participant Peer Connection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'Program Details'!$D$45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'Program Details'!$B$46:$B$48</c:f>
              <c:strCache>
                <c:ptCount val="3"/>
                <c:pt idx="0">
                  <c:v>Connected</c:v>
                </c:pt>
                <c:pt idx="1">
                  <c:v>Not Connected</c:v>
                </c:pt>
                <c:pt idx="2">
                  <c:v>N/A</c:v>
                </c:pt>
              </c:strCache>
            </c:strRef>
          </c:cat>
          <c:val>
            <c:numRef>
              <c:f>'Program Details'!$D$46:$D$48</c:f>
              <c:numCache>
                <c:formatCode>0%</c:formatCode>
                <c:ptCount val="3"/>
                <c:pt idx="0">
                  <c:v>0.9285714285714286</c:v>
                </c:pt>
                <c:pt idx="1">
                  <c:v>7.1428571428571425E-2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0B-4238-9BB2-28EE7CF0F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</a:t>
                </a:r>
                <a:r>
                  <a:rPr lang="en-US" sz="1200" baseline="0">
                    <a:solidFill>
                      <a:sysClr val="windowText" lastClr="000000"/>
                    </a:solidFill>
                  </a:rPr>
                  <a:t> Participants</a:t>
                </a:r>
                <a:endParaRPr lang="en-US" sz="12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Graduation Rate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8509703086055027"/>
          <c:y val="0.13319260206111205"/>
          <c:w val="0.64062295447152084"/>
          <c:h val="0.859558156636651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FFA6-4099-BEFB-B5338485110D}"/>
              </c:ext>
            </c:extLst>
          </c:dPt>
          <c:dPt>
            <c:idx val="1"/>
            <c:bubble3D val="0"/>
            <c:spPr>
              <a:solidFill>
                <a:schemeClr val="bg2">
                  <a:lumMod val="9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FFA6-4099-BEFB-B5338485110D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FFA6-4099-BEFB-B5338485110D}"/>
              </c:ext>
            </c:extLst>
          </c:dPt>
          <c:cat>
            <c:strRef>
              <c:f>'Program Details'!$AC$65:$AC$67</c:f>
              <c:strCache>
                <c:ptCount val="3"/>
                <c:pt idx="0">
                  <c:v>graduated</c:v>
                </c:pt>
                <c:pt idx="1">
                  <c:v>grey</c:v>
                </c:pt>
                <c:pt idx="2">
                  <c:v>blank</c:v>
                </c:pt>
              </c:strCache>
            </c:strRef>
          </c:cat>
          <c:val>
            <c:numRef>
              <c:f>'Program Details'!$AD$65:$AD$67</c:f>
              <c:numCache>
                <c:formatCode>0</c:formatCode>
                <c:ptCount val="3"/>
                <c:pt idx="0">
                  <c:v>71</c:v>
                </c:pt>
                <c:pt idx="1">
                  <c:v>29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A6-4099-BEFB-B53384851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50"/>
      </c:doughnutChart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24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92423855538133959"/>
                      <c:h val="0.376425563083684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7DCA-4C02-84C5-1D28C08C10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'Program Details'!$AC$65</c:f>
              <c:strCache>
                <c:ptCount val="1"/>
                <c:pt idx="0">
                  <c:v>graduated</c:v>
                </c:pt>
              </c:strCache>
            </c:strRef>
          </c:cat>
          <c:val>
            <c:numRef>
              <c:f>'Program Details'!$D$67</c:f>
              <c:numCache>
                <c:formatCode>0%</c:formatCode>
                <c:ptCount val="1"/>
                <c:pt idx="0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A-4C02-84C5-1D28C08C10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789119"/>
        <c:axId val="365792479"/>
      </c:barChart>
      <c:catAx>
        <c:axId val="36578911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65792479"/>
        <c:crosses val="autoZero"/>
        <c:auto val="1"/>
        <c:lblAlgn val="ctr"/>
        <c:lblOffset val="100"/>
        <c:noMultiLvlLbl val="0"/>
      </c:catAx>
      <c:valAx>
        <c:axId val="365792479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365789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Termination Rate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8509703086055027"/>
          <c:y val="0.13319260206111205"/>
          <c:w val="0.64062295447152084"/>
          <c:h val="0.8595581566366515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ED3-4E08-B928-B1B9E5F371BA}"/>
              </c:ext>
            </c:extLst>
          </c:dPt>
          <c:dPt>
            <c:idx val="1"/>
            <c:bubble3D val="0"/>
            <c:spPr>
              <a:solidFill>
                <a:schemeClr val="bg2">
                  <a:lumMod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ED3-4E08-B928-B1B9E5F371BA}"/>
              </c:ext>
            </c:extLst>
          </c:dPt>
          <c:dPt>
            <c:idx val="2"/>
            <c:bubble3D val="0"/>
            <c:spPr>
              <a:noFill/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5-6ED3-4E08-B928-B1B9E5F371BA}"/>
              </c:ext>
            </c:extLst>
          </c:dPt>
          <c:cat>
            <c:strRef>
              <c:f>'Program Details'!$AE$65:$AE$67</c:f>
              <c:strCache>
                <c:ptCount val="3"/>
                <c:pt idx="0">
                  <c:v>terminated</c:v>
                </c:pt>
                <c:pt idx="1">
                  <c:v>grey</c:v>
                </c:pt>
                <c:pt idx="2">
                  <c:v>blank</c:v>
                </c:pt>
              </c:strCache>
            </c:strRef>
          </c:cat>
          <c:val>
            <c:numRef>
              <c:f>'Program Details'!$AF$65:$AF$67</c:f>
              <c:numCache>
                <c:formatCode>0</c:formatCode>
                <c:ptCount val="3"/>
                <c:pt idx="0">
                  <c:v>5</c:v>
                </c:pt>
                <c:pt idx="1">
                  <c:v>95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ED3-4E08-B928-B1B9E5F37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50"/>
      </c:doughnutChart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85"/>
                      <c:h val="0.498380237192573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BD6-40F3-8F21-AF5AD3B1468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'Program Details'!$B$68</c:f>
              <c:strCache>
                <c:ptCount val="1"/>
                <c:pt idx="0">
                  <c:v>Terminated</c:v>
                </c:pt>
              </c:strCache>
            </c:strRef>
          </c:cat>
          <c:val>
            <c:numRef>
              <c:f>'Program Details'!$D$68</c:f>
              <c:numCache>
                <c:formatCode>0%</c:formatCode>
                <c:ptCount val="1"/>
                <c:pt idx="0">
                  <c:v>4.7619047619047616E-2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D6-40F3-8F21-AF5AD3B14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789119"/>
        <c:axId val="365792479"/>
      </c:barChart>
      <c:catAx>
        <c:axId val="36578911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65792479"/>
        <c:crosses val="autoZero"/>
        <c:auto val="1"/>
        <c:lblAlgn val="ctr"/>
        <c:lblOffset val="100"/>
        <c:noMultiLvlLbl val="0"/>
      </c:catAx>
      <c:valAx>
        <c:axId val="365792479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365789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%</a:t>
            </a:r>
            <a:r>
              <a:rPr lang="en-US" sz="1600" b="1" baseline="0">
                <a:solidFill>
                  <a:sysClr val="windowText" lastClr="000000"/>
                </a:solidFill>
              </a:rPr>
              <a:t> of Total Terminations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'Program Details'!$D$80</c:f>
              <c:strCache>
                <c:ptCount val="1"/>
                <c:pt idx="0">
                  <c:v>% of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'Program Details'!$B$81:$B$84</c:f>
              <c:strCache>
                <c:ptCount val="4"/>
                <c:pt idx="0">
                  <c:v>Behavior</c:v>
                </c:pt>
                <c:pt idx="1">
                  <c:v>Severe Medical or Mental Health</c:v>
                </c:pt>
                <c:pt idx="2">
                  <c:v>Relocation</c:v>
                </c:pt>
                <c:pt idx="3">
                  <c:v>Voluntary Withdraw</c:v>
                </c:pt>
              </c:strCache>
            </c:strRef>
          </c:cat>
          <c:val>
            <c:numRef>
              <c:f>'Program Details'!$D$81:$D$84</c:f>
              <c:numCache>
                <c:formatCode>0%</c:formatCode>
                <c:ptCount val="4"/>
                <c:pt idx="0">
                  <c:v>0.4</c:v>
                </c:pt>
                <c:pt idx="1">
                  <c:v>0.2</c:v>
                </c:pt>
                <c:pt idx="2">
                  <c:v>0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54-4DB9-BBF4-A2327407E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2923344"/>
        <c:axId val="872929104"/>
      </c:barChart>
      <c:catAx>
        <c:axId val="87292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9104"/>
        <c:crosses val="autoZero"/>
        <c:auto val="1"/>
        <c:lblAlgn val="ctr"/>
        <c:lblOffset val="100"/>
        <c:noMultiLvlLbl val="0"/>
      </c:catAx>
      <c:valAx>
        <c:axId val="872929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% of Total</a:t>
                </a:r>
                <a:r>
                  <a:rPr lang="en-US" sz="1200" baseline="0">
                    <a:solidFill>
                      <a:sysClr val="windowText" lastClr="000000"/>
                    </a:solidFill>
                  </a:rPr>
                  <a:t> Participants</a:t>
                </a:r>
                <a:endParaRPr lang="en-US" sz="1200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2923344"/>
        <c:crosses val="autoZero"/>
        <c:crossBetween val="between"/>
      </c:valAx>
    </c:plotArea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ysClr val="windowText" lastClr="000000"/>
                </a:solidFill>
              </a:rPr>
              <a:t>Number</a:t>
            </a:r>
            <a:r>
              <a:rPr lang="en-US" sz="1600" b="1" baseline="0">
                <a:solidFill>
                  <a:sysClr val="windowText" lastClr="000000"/>
                </a:solidFill>
              </a:rPr>
              <a:t> of Participants by Age Group</a:t>
            </a:r>
            <a:endParaRPr lang="en-US" sz="16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'Participant Demographics'!$E$5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'Participant Demographics'!$D$6:$D$11</c:f>
              <c:strCache>
                <c:ptCount val="6"/>
                <c:pt idx="0">
                  <c:v>24 and Younger</c:v>
                </c:pt>
                <c:pt idx="1">
                  <c:v>25 to 34</c:v>
                </c:pt>
                <c:pt idx="2">
                  <c:v>35 to 44</c:v>
                </c:pt>
                <c:pt idx="3">
                  <c:v>45 to 54</c:v>
                </c:pt>
                <c:pt idx="4">
                  <c:v>55 to 64</c:v>
                </c:pt>
                <c:pt idx="5">
                  <c:v>65 and Older</c:v>
                </c:pt>
              </c:strCache>
            </c:strRef>
          </c:cat>
          <c:val>
            <c:numRef>
              <c:f>'Participant Demographics'!$E$6:$E$11</c:f>
              <c:numCache>
                <c:formatCode>General</c:formatCode>
                <c:ptCount val="6"/>
                <c:pt idx="0">
                  <c:v>6</c:v>
                </c:pt>
                <c:pt idx="1">
                  <c:v>20</c:v>
                </c:pt>
                <c:pt idx="2">
                  <c:v>7</c:v>
                </c:pt>
                <c:pt idx="3">
                  <c:v>2</c:v>
                </c:pt>
                <c:pt idx="4">
                  <c:v>6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DD-4F62-A12E-03AAEC637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46821407"/>
        <c:axId val="1946821887"/>
      </c:barChart>
      <c:catAx>
        <c:axId val="1946821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6821887"/>
        <c:crosses val="autoZero"/>
        <c:auto val="1"/>
        <c:lblAlgn val="ctr"/>
        <c:lblOffset val="100"/>
        <c:noMultiLvlLbl val="0"/>
      </c:catAx>
      <c:valAx>
        <c:axId val="1946821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solidFill>
                      <a:sysClr val="windowText" lastClr="000000"/>
                    </a:solidFill>
                  </a:rPr>
                  <a:t>Count of Participants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6821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361949</xdr:colOff>
      <xdr:row>19</xdr:row>
      <xdr:rowOff>138111</xdr:rowOff>
    </xdr:from>
    <xdr:to>
      <xdr:col>14</xdr:col>
      <xdr:colOff>419100</xdr:colOff>
      <xdr:row>37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ED98C-8B74-4374-0049-E362C79F00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485775</xdr:colOff>
      <xdr:row>1</xdr:row>
      <xdr:rowOff>185736</xdr:rowOff>
    </xdr:from>
    <xdr:to>
      <xdr:col>12</xdr:col>
      <xdr:colOff>314325</xdr:colOff>
      <xdr:row>16</xdr:row>
      <xdr:rowOff>190500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94108F1-D877-2189-BD14-162465A60F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152400</xdr:colOff>
      <xdr:row>41</xdr:row>
      <xdr:rowOff>147636</xdr:rowOff>
    </xdr:from>
    <xdr:to>
      <xdr:col>13</xdr:col>
      <xdr:colOff>438150</xdr:colOff>
      <xdr:row>57</xdr:row>
      <xdr:rowOff>228599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DDD4A5D-CE2E-EFF4-58AF-75371BBAEC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166686</xdr:colOff>
      <xdr:row>61</xdr:row>
      <xdr:rowOff>190500</xdr:rowOff>
    </xdr:from>
    <xdr:to>
      <xdr:col>11</xdr:col>
      <xdr:colOff>28575</xdr:colOff>
      <xdr:row>75</xdr:row>
      <xdr:rowOff>104775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732D5A9F-9716-ACE3-B2BB-FB6B35866999}"/>
            </a:ext>
          </a:extLst>
        </xdr:cNvPr>
        <xdr:cNvGrpSpPr/>
      </xdr:nvGrpSpPr>
      <xdr:grpSpPr>
        <a:xfrm>
          <a:off x="5634036" y="15020925"/>
          <a:ext cx="5043489" cy="3267075"/>
          <a:chOff x="5634036" y="14068425"/>
          <a:chExt cx="4300539" cy="3267075"/>
        </a:xfrm>
      </xdr:grpSpPr>
      <xdr:graphicFrame macro="">
        <xdr:nvGraphicFramePr>
          <xdr:cNvPr id="13" name="Chart 12">
            <a:extLst>
              <a:ext uri="{FF2B5EF4-FFF2-40B4-BE49-F238E27FC236}">
                <a16:creationId xmlns:a16="http://schemas.microsoft.com/office/drawing/2014/main" id="{E4162A78-24CB-8ED6-3D48-23A94D9AA885}"/>
              </a:ext>
            </a:extLst>
          </xdr:cNvPr>
          <xdr:cNvGraphicFramePr/>
        </xdr:nvGraphicFramePr>
        <xdr:xfrm>
          <a:off x="5634036" y="14130337"/>
          <a:ext cx="4300539" cy="32051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20" name="Chart 19">
            <a:extLst>
              <a:ext uri="{FF2B5EF4-FFF2-40B4-BE49-F238E27FC236}">
                <a16:creationId xmlns:a16="http://schemas.microsoft.com/office/drawing/2014/main" id="{38563247-9E4F-FAE8-92DE-56DAA981E482}"/>
              </a:ext>
            </a:extLst>
          </xdr:cNvPr>
          <xdr:cNvGraphicFramePr/>
        </xdr:nvGraphicFramePr>
        <xdr:xfrm>
          <a:off x="7348537" y="15268575"/>
          <a:ext cx="947738" cy="8191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22" name="Rectangle 21">
            <a:extLst>
              <a:ext uri="{FF2B5EF4-FFF2-40B4-BE49-F238E27FC236}">
                <a16:creationId xmlns:a16="http://schemas.microsoft.com/office/drawing/2014/main" id="{287E1769-E935-9599-BF18-5474BA23300B}"/>
              </a:ext>
            </a:extLst>
          </xdr:cNvPr>
          <xdr:cNvSpPr/>
        </xdr:nvSpPr>
        <xdr:spPr>
          <a:xfrm>
            <a:off x="5781675" y="14068425"/>
            <a:ext cx="3990975" cy="2200275"/>
          </a:xfrm>
          <a:prstGeom prst="rect">
            <a:avLst/>
          </a:prstGeom>
          <a:noFill/>
          <a:ln w="3175">
            <a:solidFill>
              <a:sysClr val="windowText" lastClr="00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 kern="1200"/>
          </a:p>
        </xdr:txBody>
      </xdr:sp>
    </xdr:grpSp>
    <xdr:clientData/>
  </xdr:twoCellAnchor>
  <xdr:twoCellAnchor>
    <xdr:from>
      <xdr:col>10</xdr:col>
      <xdr:colOff>590550</xdr:colOff>
      <xdr:row>61</xdr:row>
      <xdr:rowOff>171450</xdr:rowOff>
    </xdr:from>
    <xdr:to>
      <xdr:col>18</xdr:col>
      <xdr:colOff>71439</xdr:colOff>
      <xdr:row>74</xdr:row>
      <xdr:rowOff>228601</xdr:rowOff>
    </xdr:to>
    <xdr:grpSp>
      <xdr:nvGrpSpPr>
        <xdr:cNvPr id="25" name="Group 24">
          <a:extLst>
            <a:ext uri="{FF2B5EF4-FFF2-40B4-BE49-F238E27FC236}">
              <a16:creationId xmlns:a16="http://schemas.microsoft.com/office/drawing/2014/main" id="{799C204A-9779-B7BD-C8E0-2BA08985A665}"/>
            </a:ext>
          </a:extLst>
        </xdr:cNvPr>
        <xdr:cNvGrpSpPr/>
      </xdr:nvGrpSpPr>
      <xdr:grpSpPr>
        <a:xfrm>
          <a:off x="10629900" y="15001875"/>
          <a:ext cx="5195889" cy="3171826"/>
          <a:chOff x="9963150" y="14106525"/>
          <a:chExt cx="4300539" cy="3042637"/>
        </a:xfrm>
      </xdr:grpSpPr>
      <xdr:graphicFrame macro="">
        <xdr:nvGraphicFramePr>
          <xdr:cNvPr id="14" name="Chart 13">
            <a:extLst>
              <a:ext uri="{FF2B5EF4-FFF2-40B4-BE49-F238E27FC236}">
                <a16:creationId xmlns:a16="http://schemas.microsoft.com/office/drawing/2014/main" id="{78505887-C454-465B-A5F0-6A1A995B685F}"/>
              </a:ext>
            </a:extLst>
          </xdr:cNvPr>
          <xdr:cNvGraphicFramePr>
            <a:graphicFrameLocks/>
          </xdr:cNvGraphicFramePr>
        </xdr:nvGraphicFramePr>
        <xdr:xfrm>
          <a:off x="9963150" y="14154151"/>
          <a:ext cx="4300539" cy="29950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aphicFrame macro="">
        <xdr:nvGraphicFramePr>
          <xdr:cNvPr id="21" name="Chart 20">
            <a:extLst>
              <a:ext uri="{FF2B5EF4-FFF2-40B4-BE49-F238E27FC236}">
                <a16:creationId xmlns:a16="http://schemas.microsoft.com/office/drawing/2014/main" id="{FE52A354-4920-4E9C-9EDF-E6FCE6CCAD1F}"/>
              </a:ext>
            </a:extLst>
          </xdr:cNvPr>
          <xdr:cNvGraphicFramePr>
            <a:graphicFrameLocks/>
          </xdr:cNvGraphicFramePr>
        </xdr:nvGraphicFramePr>
        <xdr:xfrm>
          <a:off x="11696700" y="15373350"/>
          <a:ext cx="914400" cy="82296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23" name="Rectangle 22">
            <a:extLst>
              <a:ext uri="{FF2B5EF4-FFF2-40B4-BE49-F238E27FC236}">
                <a16:creationId xmlns:a16="http://schemas.microsoft.com/office/drawing/2014/main" id="{FFD490DE-548C-4A03-A9A7-E3758E0261C4}"/>
              </a:ext>
            </a:extLst>
          </xdr:cNvPr>
          <xdr:cNvSpPr/>
        </xdr:nvSpPr>
        <xdr:spPr>
          <a:xfrm>
            <a:off x="10077450" y="14106525"/>
            <a:ext cx="3990975" cy="2147206"/>
          </a:xfrm>
          <a:prstGeom prst="rect">
            <a:avLst/>
          </a:prstGeom>
          <a:noFill/>
          <a:ln w="3175">
            <a:solidFill>
              <a:sysClr val="windowText" lastClr="00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 kern="1200"/>
          </a:p>
        </xdr:txBody>
      </xdr:sp>
    </xdr:grpSp>
    <xdr:clientData/>
  </xdr:twoCellAnchor>
  <xdr:twoCellAnchor>
    <xdr:from>
      <xdr:col>4</xdr:col>
      <xdr:colOff>1104900</xdr:colOff>
      <xdr:row>77</xdr:row>
      <xdr:rowOff>61912</xdr:rowOff>
    </xdr:from>
    <xdr:to>
      <xdr:col>13</xdr:col>
      <xdr:colOff>238125</xdr:colOff>
      <xdr:row>93</xdr:row>
      <xdr:rowOff>200025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72996F14-03AF-C5CC-F1B6-19B03B439C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495298</xdr:colOff>
      <xdr:row>2</xdr:row>
      <xdr:rowOff>114299</xdr:rowOff>
    </xdr:from>
    <xdr:to>
      <xdr:col>17</xdr:col>
      <xdr:colOff>247650</xdr:colOff>
      <xdr:row>19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C73E6-6BD1-46B8-B30C-3057D1058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485774</xdr:colOff>
      <xdr:row>20</xdr:row>
      <xdr:rowOff>147635</xdr:rowOff>
    </xdr:from>
    <xdr:to>
      <xdr:col>17</xdr:col>
      <xdr:colOff>200025</xdr:colOff>
      <xdr:row>39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BFD9D9-2C6A-4E95-8BAA-B855D5BAD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485775</xdr:colOff>
      <xdr:row>41</xdr:row>
      <xdr:rowOff>109537</xdr:rowOff>
    </xdr:from>
    <xdr:to>
      <xdr:col>25</xdr:col>
      <xdr:colOff>266700</xdr:colOff>
      <xdr:row>60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9BDDFD2-FAF2-4FB4-8704-5EFC6EE36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938211</xdr:colOff>
      <xdr:row>64</xdr:row>
      <xdr:rowOff>195261</xdr:rowOff>
    </xdr:from>
    <xdr:to>
      <xdr:col>16</xdr:col>
      <xdr:colOff>314325</xdr:colOff>
      <xdr:row>83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B33D9CF-767F-4F45-8C32-098655218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957261</xdr:colOff>
      <xdr:row>85</xdr:row>
      <xdr:rowOff>176212</xdr:rowOff>
    </xdr:from>
    <xdr:to>
      <xdr:col>13</xdr:col>
      <xdr:colOff>28575</xdr:colOff>
      <xdr:row>103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9B52503-4967-4207-BBC1-49525AE946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547686</xdr:colOff>
      <xdr:row>0</xdr:row>
      <xdr:rowOff>204786</xdr:rowOff>
    </xdr:from>
    <xdr:to>
      <xdr:col>16</xdr:col>
      <xdr:colOff>38100</xdr:colOff>
      <xdr:row>22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B08EFD-9D01-373D-109A-4158301FAA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442911</xdr:colOff>
      <xdr:row>24</xdr:row>
      <xdr:rowOff>90486</xdr:rowOff>
    </xdr:from>
    <xdr:to>
      <xdr:col>16</xdr:col>
      <xdr:colOff>76200</xdr:colOff>
      <xdr:row>42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2AEA52-A872-3F23-81E5-1805F75EAA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152399</xdr:colOff>
      <xdr:row>45</xdr:row>
      <xdr:rowOff>52386</xdr:rowOff>
    </xdr:from>
    <xdr:to>
      <xdr:col>27</xdr:col>
      <xdr:colOff>295275</xdr:colOff>
      <xdr:row>66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FBE6132-95AB-BAD0-2D4F-C4D1A7414F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985838</xdr:colOff>
      <xdr:row>78</xdr:row>
      <xdr:rowOff>23812</xdr:rowOff>
    </xdr:from>
    <xdr:to>
      <xdr:col>15</xdr:col>
      <xdr:colOff>323851</xdr:colOff>
      <xdr:row>93</xdr:row>
      <xdr:rowOff>228600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4D8D7AE-1390-281C-1EDC-65A39F310F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423860</xdr:colOff>
      <xdr:row>0</xdr:row>
      <xdr:rowOff>233361</xdr:rowOff>
    </xdr:from>
    <xdr:to>
      <xdr:col>16</xdr:col>
      <xdr:colOff>409575</xdr:colOff>
      <xdr:row>18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DC5F81-A54D-799B-1CB9-15EA21B256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414336</xdr:colOff>
      <xdr:row>21</xdr:row>
      <xdr:rowOff>204787</xdr:rowOff>
    </xdr:from>
    <xdr:to>
      <xdr:col>16</xdr:col>
      <xdr:colOff>485774</xdr:colOff>
      <xdr:row>36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98D5028-30B3-5DD9-B564-B9E577E5C4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685799</xdr:colOff>
      <xdr:row>38</xdr:row>
      <xdr:rowOff>223837</xdr:rowOff>
    </xdr:from>
    <xdr:to>
      <xdr:col>15</xdr:col>
      <xdr:colOff>590549</xdr:colOff>
      <xdr:row>55</xdr:row>
      <xdr:rowOff>209550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5EE15E9-433E-468F-FDDB-A862B60255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714375</xdr:colOff>
      <xdr:row>58</xdr:row>
      <xdr:rowOff>214311</xdr:rowOff>
    </xdr:from>
    <xdr:to>
      <xdr:col>16</xdr:col>
      <xdr:colOff>476250</xdr:colOff>
      <xdr:row>74</xdr:row>
      <xdr:rowOff>47625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43EF678-0534-C415-6105-5D2B53E23F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781048</xdr:colOff>
      <xdr:row>95</xdr:row>
      <xdr:rowOff>128586</xdr:rowOff>
    </xdr:from>
    <xdr:to>
      <xdr:col>19</xdr:col>
      <xdr:colOff>219074</xdr:colOff>
      <xdr:row>113</xdr:row>
      <xdr:rowOff>219075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D7CD0E0-0B0A-2673-02E5-1B93EE87A5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752475</xdr:colOff>
      <xdr:row>117</xdr:row>
      <xdr:rowOff>85725</xdr:rowOff>
    </xdr:from>
    <xdr:to>
      <xdr:col>19</xdr:col>
      <xdr:colOff>190501</xdr:colOff>
      <xdr:row>135</xdr:row>
      <xdr:rowOff>176214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4122B43-CAD7-4BA1-9B97-D62522BCEB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266699</xdr:colOff>
      <xdr:row>19</xdr:row>
      <xdr:rowOff>185737</xdr:rowOff>
    </xdr:from>
    <xdr:to>
      <xdr:col>15</xdr:col>
      <xdr:colOff>304800</xdr:colOff>
      <xdr:row>35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741F0A2-9DBE-34B1-F63F-821F173585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219074</xdr:colOff>
      <xdr:row>38</xdr:row>
      <xdr:rowOff>61911</xdr:rowOff>
    </xdr:from>
    <xdr:to>
      <xdr:col>15</xdr:col>
      <xdr:colOff>285749</xdr:colOff>
      <xdr:row>56</xdr:row>
      <xdr:rowOff>180974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B8DD28E-8AA6-4311-5413-F1B2A0787D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Lights On with solid fill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E87BA-F884-4994-9A90-DBDDA7CEA6BB}">
  <dimension ref="A1:AM55"/>
  <sheetViews>
    <sheetView tabSelected="1" topLeftCell="W1" workbookViewId="0">
      <pane ySplit="4" topLeftCell="A5" activePane="bottomLeft" state="frozen"/>
      <selection pane="bottomLeft" activeCell="K49" sqref="K49"/>
    </sheetView>
  </sheetViews>
  <sheetFormatPr defaultColWidth="9.140625" defaultRowHeight="18.75" x14ac:dyDescent="0.3"/>
  <cols>
    <col min="1" max="1" width="15.28515625" style="3" bestFit="1" customWidth="1"/>
    <col min="2" max="2" width="18.28515625" style="5" bestFit="1" customWidth="1"/>
    <col min="3" max="3" width="17.85546875" style="2" bestFit="1" customWidth="1"/>
    <col min="4" max="4" width="35.140625" style="2" bestFit="1" customWidth="1"/>
    <col min="5" max="5" width="39.7109375" style="2" bestFit="1" customWidth="1"/>
    <col min="6" max="6" width="21.7109375" style="2" bestFit="1" customWidth="1"/>
    <col min="7" max="7" width="26.140625" style="2" bestFit="1" customWidth="1"/>
    <col min="8" max="8" width="19.85546875" style="2" customWidth="1"/>
    <col min="9" max="9" width="18.42578125" style="2" bestFit="1" customWidth="1"/>
    <col min="10" max="10" width="14.5703125" style="2" bestFit="1" customWidth="1"/>
    <col min="11" max="11" width="22.28515625" style="2" bestFit="1" customWidth="1"/>
    <col min="12" max="12" width="25.42578125" style="2" bestFit="1" customWidth="1"/>
    <col min="13" max="13" width="16" style="2" bestFit="1" customWidth="1"/>
    <col min="14" max="14" width="29" style="2" bestFit="1" customWidth="1"/>
    <col min="15" max="15" width="20.85546875" style="2" bestFit="1" customWidth="1"/>
    <col min="16" max="16" width="22.42578125" style="7" bestFit="1" customWidth="1"/>
    <col min="17" max="17" width="23.140625" style="2" bestFit="1" customWidth="1"/>
    <col min="18" max="18" width="15.85546875" style="2" bestFit="1" customWidth="1"/>
    <col min="19" max="19" width="17.7109375" style="2" bestFit="1" customWidth="1"/>
    <col min="20" max="20" width="18.5703125" style="2" bestFit="1" customWidth="1"/>
    <col min="21" max="21" width="16.85546875" style="2" bestFit="1" customWidth="1"/>
    <col min="22" max="22" width="17.7109375" style="2" bestFit="1" customWidth="1"/>
    <col min="23" max="23" width="17.85546875" style="2" bestFit="1" customWidth="1"/>
    <col min="24" max="24" width="15.85546875" style="2" bestFit="1" customWidth="1"/>
    <col min="25" max="25" width="18.7109375" style="2" bestFit="1" customWidth="1"/>
    <col min="26" max="27" width="15.85546875" style="2" bestFit="1" customWidth="1"/>
    <col min="28" max="28" width="15.85546875" style="2" customWidth="1"/>
    <col min="29" max="29" width="17.28515625" style="2" bestFit="1" customWidth="1"/>
    <col min="30" max="30" width="19.140625" style="2" bestFit="1" customWidth="1"/>
    <col min="31" max="31" width="21.42578125" style="2" bestFit="1" customWidth="1"/>
    <col min="32" max="32" width="17.42578125" style="2" bestFit="1" customWidth="1"/>
    <col min="33" max="33" width="17.28515625" style="2" bestFit="1" customWidth="1"/>
    <col min="34" max="34" width="23" style="2" bestFit="1" customWidth="1"/>
    <col min="35" max="35" width="21.140625" style="2" bestFit="1" customWidth="1"/>
    <col min="36" max="36" width="18" style="2" bestFit="1" customWidth="1"/>
    <col min="37" max="37" width="16.140625" style="2" bestFit="1" customWidth="1"/>
    <col min="38" max="38" width="16.7109375" style="2" bestFit="1" customWidth="1"/>
    <col min="39" max="39" width="22" style="2" customWidth="1"/>
    <col min="40" max="16384" width="9.140625" style="2"/>
  </cols>
  <sheetData>
    <row r="1" spans="1:39" s="4" customFormat="1" x14ac:dyDescent="0.3">
      <c r="A1" s="3" t="s">
        <v>116</v>
      </c>
      <c r="B1" s="58" t="s">
        <v>100</v>
      </c>
      <c r="C1" s="59"/>
      <c r="D1" s="59"/>
      <c r="E1" s="59"/>
      <c r="F1" s="59"/>
      <c r="G1" s="59"/>
      <c r="H1" s="59" t="s">
        <v>121</v>
      </c>
      <c r="I1" s="59"/>
      <c r="J1" s="59" t="s">
        <v>106</v>
      </c>
      <c r="K1" s="59"/>
      <c r="L1" s="59"/>
      <c r="M1" s="59"/>
      <c r="N1" s="59"/>
      <c r="O1" s="59"/>
      <c r="P1" s="59"/>
      <c r="Q1" s="59" t="s">
        <v>105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 t="s">
        <v>112</v>
      </c>
      <c r="AL1" s="59"/>
      <c r="AM1" s="59"/>
    </row>
    <row r="2" spans="1:39" s="50" customFormat="1" ht="39" customHeight="1" x14ac:dyDescent="0.25">
      <c r="A2" s="48" t="s">
        <v>117</v>
      </c>
      <c r="B2" s="49" t="s">
        <v>46</v>
      </c>
      <c r="C2" s="50" t="s">
        <v>43</v>
      </c>
      <c r="D2" s="50" t="s">
        <v>43</v>
      </c>
      <c r="E2" s="50" t="s">
        <v>43</v>
      </c>
      <c r="F2" s="50" t="s">
        <v>43</v>
      </c>
      <c r="G2" s="50" t="s">
        <v>43</v>
      </c>
      <c r="H2" s="50" t="s">
        <v>168</v>
      </c>
      <c r="I2" s="50" t="s">
        <v>42</v>
      </c>
      <c r="J2" s="50" t="s">
        <v>168</v>
      </c>
      <c r="K2" s="50" t="s">
        <v>168</v>
      </c>
      <c r="L2" s="50" t="s">
        <v>167</v>
      </c>
      <c r="M2" s="50" t="s">
        <v>42</v>
      </c>
      <c r="N2" s="50" t="s">
        <v>42</v>
      </c>
      <c r="O2" s="50" t="s">
        <v>42</v>
      </c>
      <c r="P2" s="50" t="s">
        <v>42</v>
      </c>
      <c r="Q2" s="50" t="s">
        <v>42</v>
      </c>
      <c r="R2" s="50" t="s">
        <v>42</v>
      </c>
      <c r="S2" s="50" t="s">
        <v>165</v>
      </c>
      <c r="T2" s="50" t="s">
        <v>165</v>
      </c>
      <c r="U2" s="50" t="s">
        <v>166</v>
      </c>
      <c r="V2" s="50" t="s">
        <v>166</v>
      </c>
      <c r="W2" s="50" t="s">
        <v>167</v>
      </c>
      <c r="X2" s="50" t="s">
        <v>166</v>
      </c>
      <c r="Y2" s="50" t="s">
        <v>166</v>
      </c>
      <c r="Z2" s="50" t="s">
        <v>41</v>
      </c>
      <c r="AA2" s="50" t="s">
        <v>41</v>
      </c>
      <c r="AB2" s="50" t="s">
        <v>41</v>
      </c>
      <c r="AC2" s="50" t="s">
        <v>41</v>
      </c>
      <c r="AD2" s="50" t="s">
        <v>167</v>
      </c>
      <c r="AE2" s="50" t="s">
        <v>168</v>
      </c>
      <c r="AF2" s="50" t="s">
        <v>167</v>
      </c>
      <c r="AG2" s="50" t="s">
        <v>167</v>
      </c>
      <c r="AH2" s="50" t="s">
        <v>167</v>
      </c>
      <c r="AI2" s="50" t="s">
        <v>167</v>
      </c>
      <c r="AJ2" s="50" t="s">
        <v>167</v>
      </c>
      <c r="AK2" s="50" t="s">
        <v>42</v>
      </c>
      <c r="AL2" s="50" t="s">
        <v>42</v>
      </c>
      <c r="AM2" s="50" t="s">
        <v>42</v>
      </c>
    </row>
    <row r="3" spans="1:39" s="54" customFormat="1" ht="47.25" x14ac:dyDescent="0.25">
      <c r="A3" s="51" t="s">
        <v>118</v>
      </c>
      <c r="B3" s="52" t="s">
        <v>76</v>
      </c>
      <c r="C3" s="53" t="s">
        <v>96</v>
      </c>
      <c r="D3" s="53" t="s">
        <v>62</v>
      </c>
      <c r="E3" s="53" t="s">
        <v>97</v>
      </c>
      <c r="F3" s="53" t="s">
        <v>98</v>
      </c>
      <c r="G3" s="53" t="s">
        <v>99</v>
      </c>
      <c r="H3" s="53" t="s">
        <v>94</v>
      </c>
      <c r="I3" s="53" t="s">
        <v>95</v>
      </c>
      <c r="J3" s="53" t="s">
        <v>102</v>
      </c>
      <c r="K3" s="53" t="s">
        <v>103</v>
      </c>
      <c r="L3" s="53" t="s">
        <v>122</v>
      </c>
      <c r="M3" s="53" t="s">
        <v>109</v>
      </c>
      <c r="N3" s="53" t="s">
        <v>111</v>
      </c>
      <c r="O3" s="53" t="s">
        <v>107</v>
      </c>
      <c r="P3" s="53" t="s">
        <v>108</v>
      </c>
      <c r="Q3" s="53" t="s">
        <v>77</v>
      </c>
      <c r="R3" s="53" t="s">
        <v>78</v>
      </c>
      <c r="S3" s="53" t="s">
        <v>79</v>
      </c>
      <c r="T3" s="53" t="s">
        <v>80</v>
      </c>
      <c r="U3" s="53" t="s">
        <v>81</v>
      </c>
      <c r="V3" s="53" t="s">
        <v>82</v>
      </c>
      <c r="W3" s="53" t="s">
        <v>83</v>
      </c>
      <c r="X3" s="53" t="s">
        <v>84</v>
      </c>
      <c r="Y3" s="53" t="s">
        <v>85</v>
      </c>
      <c r="Z3" s="53" t="s">
        <v>66</v>
      </c>
      <c r="AA3" s="53" t="s">
        <v>67</v>
      </c>
      <c r="AB3" s="53" t="s">
        <v>125</v>
      </c>
      <c r="AC3" s="53" t="s">
        <v>86</v>
      </c>
      <c r="AD3" s="53" t="s">
        <v>87</v>
      </c>
      <c r="AE3" s="53" t="s">
        <v>88</v>
      </c>
      <c r="AF3" s="53" t="s">
        <v>89</v>
      </c>
      <c r="AG3" s="53" t="s">
        <v>90</v>
      </c>
      <c r="AH3" s="53" t="s">
        <v>91</v>
      </c>
      <c r="AI3" s="53" t="s">
        <v>92</v>
      </c>
      <c r="AJ3" s="53" t="s">
        <v>93</v>
      </c>
      <c r="AK3" s="54" t="s">
        <v>113</v>
      </c>
      <c r="AL3" s="54" t="s">
        <v>124</v>
      </c>
      <c r="AM3" s="54" t="s">
        <v>123</v>
      </c>
    </row>
    <row r="4" spans="1:39" s="57" customFormat="1" ht="135" x14ac:dyDescent="0.25">
      <c r="A4" s="55" t="s">
        <v>101</v>
      </c>
      <c r="B4" s="56" t="s">
        <v>44</v>
      </c>
      <c r="C4" s="57" t="s">
        <v>0</v>
      </c>
      <c r="D4" s="57" t="s">
        <v>70</v>
      </c>
      <c r="E4" s="57" t="s">
        <v>177</v>
      </c>
      <c r="F4" s="57" t="s">
        <v>74</v>
      </c>
      <c r="G4" s="57" t="s">
        <v>30</v>
      </c>
      <c r="H4" s="57" t="s">
        <v>71</v>
      </c>
      <c r="I4" s="57" t="s">
        <v>69</v>
      </c>
      <c r="J4" s="57" t="s">
        <v>119</v>
      </c>
      <c r="K4" s="57" t="s">
        <v>104</v>
      </c>
      <c r="L4" s="57" t="s">
        <v>115</v>
      </c>
      <c r="M4" s="57" t="s">
        <v>110</v>
      </c>
      <c r="N4" s="57" t="s">
        <v>75</v>
      </c>
      <c r="P4" s="57" t="s">
        <v>120</v>
      </c>
      <c r="Q4" s="57" t="s">
        <v>68</v>
      </c>
      <c r="R4" s="57" t="s">
        <v>0</v>
      </c>
      <c r="S4" s="57" t="s">
        <v>0</v>
      </c>
      <c r="T4" s="57" t="s">
        <v>0</v>
      </c>
      <c r="U4" s="57" t="s">
        <v>2</v>
      </c>
      <c r="V4" s="57" t="s">
        <v>0</v>
      </c>
      <c r="W4" s="57" t="s">
        <v>1</v>
      </c>
      <c r="X4" s="57" t="s">
        <v>1</v>
      </c>
      <c r="Y4" s="57" t="s">
        <v>1</v>
      </c>
      <c r="Z4" s="57" t="s">
        <v>0</v>
      </c>
      <c r="AA4" s="57" t="s">
        <v>126</v>
      </c>
      <c r="AB4" s="57" t="s">
        <v>176</v>
      </c>
      <c r="AC4" s="57" t="s">
        <v>0</v>
      </c>
      <c r="AD4" s="57" t="s">
        <v>114</v>
      </c>
      <c r="AE4" s="57" t="s">
        <v>114</v>
      </c>
      <c r="AF4" s="57" t="s">
        <v>115</v>
      </c>
      <c r="AG4" s="57" t="s">
        <v>115</v>
      </c>
      <c r="AH4" s="57" t="s">
        <v>115</v>
      </c>
      <c r="AI4" s="57" t="s">
        <v>115</v>
      </c>
      <c r="AJ4" s="57" t="s">
        <v>115</v>
      </c>
      <c r="AK4" s="57" t="s">
        <v>115</v>
      </c>
      <c r="AL4" s="57" t="s">
        <v>71</v>
      </c>
      <c r="AM4" s="57" t="s">
        <v>72</v>
      </c>
    </row>
    <row r="5" spans="1:39" x14ac:dyDescent="0.3">
      <c r="B5" s="5">
        <v>1</v>
      </c>
      <c r="C5" s="2">
        <v>36</v>
      </c>
      <c r="D5" s="2" t="s">
        <v>7</v>
      </c>
      <c r="E5" s="2" t="s">
        <v>178</v>
      </c>
      <c r="F5" s="2" t="s">
        <v>6</v>
      </c>
      <c r="G5" s="2" t="s">
        <v>48</v>
      </c>
      <c r="H5" s="2" t="s">
        <v>17</v>
      </c>
      <c r="I5" s="2" t="s">
        <v>23</v>
      </c>
      <c r="J5" s="2" t="s">
        <v>45</v>
      </c>
      <c r="L5" s="1" t="s">
        <v>45</v>
      </c>
      <c r="M5" s="2" t="s">
        <v>52</v>
      </c>
      <c r="O5" s="6">
        <v>43639</v>
      </c>
      <c r="P5" s="7" t="str">
        <f ca="1">IF(
 O5 &gt;= (TODAY() - 182), "6 Months",
  IF(O5 &gt;= (TODAY() - 365), "1 Year",
   IF(O5 &gt;= (TODAY() - 1095), "3 Years",
    IF(O5 &gt;= (TODAY() - 1825), "5 Years",""
 )))
)</f>
        <v/>
      </c>
      <c r="Q5" s="2">
        <v>25</v>
      </c>
      <c r="R5" s="2">
        <v>12</v>
      </c>
      <c r="S5" s="2">
        <v>6</v>
      </c>
      <c r="T5" s="2">
        <v>13</v>
      </c>
      <c r="U5" s="2" t="s">
        <v>45</v>
      </c>
      <c r="V5" s="2">
        <v>30</v>
      </c>
      <c r="W5" s="2" t="s">
        <v>45</v>
      </c>
      <c r="X5" s="2" t="s">
        <v>45</v>
      </c>
      <c r="Y5" s="2" t="s">
        <v>45</v>
      </c>
      <c r="Z5" s="2">
        <v>60</v>
      </c>
      <c r="AA5" s="2">
        <v>10</v>
      </c>
      <c r="AB5" s="1">
        <v>0</v>
      </c>
      <c r="AC5" s="2">
        <v>15</v>
      </c>
      <c r="AD5" s="2" t="s">
        <v>45</v>
      </c>
      <c r="AE5" s="2" t="s">
        <v>47</v>
      </c>
      <c r="AF5" s="2" t="s">
        <v>45</v>
      </c>
      <c r="AG5" s="2" t="s">
        <v>45</v>
      </c>
      <c r="AH5" s="2" t="s">
        <v>45</v>
      </c>
      <c r="AI5" s="2" t="s">
        <v>46</v>
      </c>
      <c r="AJ5" s="2" t="s">
        <v>45</v>
      </c>
      <c r="AK5" s="2" t="s">
        <v>47</v>
      </c>
      <c r="AL5" s="1"/>
      <c r="AM5" s="1"/>
    </row>
    <row r="6" spans="1:39" x14ac:dyDescent="0.3">
      <c r="B6" s="5">
        <v>2</v>
      </c>
      <c r="C6" s="2">
        <v>29</v>
      </c>
      <c r="D6" s="2" t="s">
        <v>8</v>
      </c>
      <c r="E6" s="2" t="s">
        <v>3</v>
      </c>
      <c r="F6" s="2" t="s">
        <v>6</v>
      </c>
      <c r="G6" s="2" t="s">
        <v>50</v>
      </c>
      <c r="H6" s="2" t="s">
        <v>17</v>
      </c>
      <c r="I6" s="2" t="s">
        <v>29</v>
      </c>
      <c r="J6" s="2" t="s">
        <v>45</v>
      </c>
      <c r="L6" s="1" t="s">
        <v>47</v>
      </c>
      <c r="M6" s="2" t="s">
        <v>54</v>
      </c>
      <c r="N6" s="2" t="s">
        <v>40</v>
      </c>
      <c r="P6" s="7" t="str">
        <f t="shared" ref="P6:P55" ca="1" si="0">IF(
 O6 &gt;= (TODAY() - 182), "6 Months",
  IF(O6 &gt;= (TODAY() - 365), "1 Year",
   IF(O6 &gt;= (TODAY() - 1095), "3 Years",
    IF(O6 &gt;= (TODAY() - 1825), "5 Years",""
 )))
)</f>
        <v/>
      </c>
      <c r="Q6" s="2">
        <v>25</v>
      </c>
      <c r="R6" s="2">
        <v>10</v>
      </c>
      <c r="S6" s="2">
        <v>6</v>
      </c>
      <c r="T6" s="2">
        <v>13</v>
      </c>
      <c r="U6" s="2" t="s">
        <v>45</v>
      </c>
      <c r="V6" s="2">
        <v>30</v>
      </c>
      <c r="W6" s="2" t="s">
        <v>45</v>
      </c>
      <c r="X6" s="2" t="s">
        <v>45</v>
      </c>
      <c r="Y6" s="2" t="s">
        <v>47</v>
      </c>
      <c r="Z6" s="2">
        <v>60</v>
      </c>
      <c r="AA6" s="2">
        <v>9</v>
      </c>
      <c r="AB6" s="1">
        <v>7</v>
      </c>
      <c r="AC6" s="2">
        <v>15</v>
      </c>
      <c r="AD6" s="2" t="s">
        <v>45</v>
      </c>
      <c r="AE6" s="2" t="s">
        <v>47</v>
      </c>
      <c r="AF6" s="2" t="s">
        <v>45</v>
      </c>
      <c r="AG6" s="2" t="s">
        <v>46</v>
      </c>
      <c r="AH6" s="2" t="s">
        <v>46</v>
      </c>
      <c r="AI6" s="2" t="s">
        <v>46</v>
      </c>
      <c r="AJ6" s="2" t="s">
        <v>45</v>
      </c>
      <c r="AK6" s="2" t="s">
        <v>47</v>
      </c>
      <c r="AL6" s="1"/>
      <c r="AM6" s="1"/>
    </row>
    <row r="7" spans="1:39" x14ac:dyDescent="0.3">
      <c r="B7" s="5">
        <v>3</v>
      </c>
      <c r="C7" s="2">
        <v>27</v>
      </c>
      <c r="D7" s="2" t="s">
        <v>9</v>
      </c>
      <c r="E7" s="2" t="s">
        <v>4</v>
      </c>
      <c r="F7" s="2" t="s">
        <v>6</v>
      </c>
      <c r="G7" s="2" t="s">
        <v>48</v>
      </c>
      <c r="H7" s="2" t="s">
        <v>14</v>
      </c>
      <c r="I7" s="2" t="s">
        <v>181</v>
      </c>
      <c r="J7" s="2" t="s">
        <v>45</v>
      </c>
      <c r="L7" s="1" t="s">
        <v>45</v>
      </c>
      <c r="M7" s="2" t="s">
        <v>52</v>
      </c>
      <c r="O7" s="6">
        <v>44048</v>
      </c>
      <c r="P7" s="7" t="str">
        <f t="shared" ca="1" si="0"/>
        <v>5 Years</v>
      </c>
      <c r="Q7" s="2">
        <v>23</v>
      </c>
      <c r="R7" s="2">
        <v>10</v>
      </c>
      <c r="S7" s="2">
        <v>6</v>
      </c>
      <c r="T7" s="2">
        <v>13</v>
      </c>
      <c r="U7" s="2" t="s">
        <v>45</v>
      </c>
      <c r="V7" s="2">
        <v>29</v>
      </c>
      <c r="W7" s="2" t="s">
        <v>45</v>
      </c>
      <c r="X7" s="2" t="s">
        <v>45</v>
      </c>
      <c r="Y7" s="2" t="s">
        <v>45</v>
      </c>
      <c r="Z7" s="2">
        <v>50</v>
      </c>
      <c r="AA7" s="2">
        <v>9</v>
      </c>
      <c r="AB7" s="1">
        <v>10</v>
      </c>
      <c r="AC7" s="2">
        <v>14</v>
      </c>
      <c r="AD7" s="2" t="s">
        <v>45</v>
      </c>
      <c r="AE7" s="2" t="s">
        <v>45</v>
      </c>
      <c r="AF7" s="2" t="s">
        <v>45</v>
      </c>
      <c r="AG7" s="2" t="s">
        <v>45</v>
      </c>
      <c r="AH7" s="2" t="s">
        <v>46</v>
      </c>
      <c r="AI7" s="2" t="s">
        <v>46</v>
      </c>
      <c r="AJ7" s="2" t="s">
        <v>45</v>
      </c>
      <c r="AK7" s="2" t="s">
        <v>47</v>
      </c>
      <c r="AL7" s="1"/>
      <c r="AM7" s="1"/>
    </row>
    <row r="8" spans="1:39" x14ac:dyDescent="0.3">
      <c r="B8" s="5">
        <v>4</v>
      </c>
      <c r="C8" s="2">
        <v>26</v>
      </c>
      <c r="D8" s="2" t="s">
        <v>10</v>
      </c>
      <c r="E8" s="2" t="s">
        <v>12</v>
      </c>
      <c r="F8" s="2" t="s">
        <v>6</v>
      </c>
      <c r="G8" s="2" t="s">
        <v>48</v>
      </c>
      <c r="H8" s="2" t="s">
        <v>15</v>
      </c>
      <c r="I8" s="2" t="s">
        <v>25</v>
      </c>
      <c r="J8" s="2" t="s">
        <v>45</v>
      </c>
      <c r="L8" s="1" t="s">
        <v>45</v>
      </c>
      <c r="M8" s="2" t="s">
        <v>52</v>
      </c>
      <c r="O8" s="6">
        <v>44158</v>
      </c>
      <c r="P8" s="7" t="str">
        <f t="shared" ca="1" si="0"/>
        <v>5 Years</v>
      </c>
      <c r="Q8" s="2">
        <v>22</v>
      </c>
      <c r="R8" s="2">
        <v>10</v>
      </c>
      <c r="S8" s="2">
        <v>5</v>
      </c>
      <c r="T8" s="2">
        <v>13</v>
      </c>
      <c r="U8" s="2" t="s">
        <v>45</v>
      </c>
      <c r="V8" s="2">
        <v>28</v>
      </c>
      <c r="W8" s="2" t="s">
        <v>45</v>
      </c>
      <c r="X8" s="2" t="s">
        <v>45</v>
      </c>
      <c r="Y8" s="2" t="s">
        <v>45</v>
      </c>
      <c r="Z8" s="2">
        <v>50</v>
      </c>
      <c r="AA8" s="2">
        <v>9</v>
      </c>
      <c r="AB8" s="1">
        <v>0</v>
      </c>
      <c r="AC8" s="2">
        <v>14</v>
      </c>
      <c r="AD8" s="2" t="s">
        <v>45</v>
      </c>
      <c r="AE8" s="2" t="s">
        <v>45</v>
      </c>
      <c r="AF8" s="2" t="s">
        <v>45</v>
      </c>
      <c r="AG8" s="2" t="s">
        <v>45</v>
      </c>
      <c r="AH8" s="2" t="s">
        <v>46</v>
      </c>
      <c r="AI8" s="2" t="s">
        <v>46</v>
      </c>
      <c r="AJ8" s="2" t="s">
        <v>45</v>
      </c>
      <c r="AK8" s="2" t="s">
        <v>47</v>
      </c>
      <c r="AL8" s="1"/>
      <c r="AM8" s="1"/>
    </row>
    <row r="9" spans="1:39" x14ac:dyDescent="0.3">
      <c r="B9" s="5">
        <v>5</v>
      </c>
      <c r="C9" s="2">
        <v>20</v>
      </c>
      <c r="D9" s="2" t="s">
        <v>11</v>
      </c>
      <c r="E9" s="2" t="s">
        <v>5</v>
      </c>
      <c r="F9" s="2" t="s">
        <v>73</v>
      </c>
      <c r="G9" s="2" t="s">
        <v>49</v>
      </c>
      <c r="H9" s="2" t="s">
        <v>14</v>
      </c>
      <c r="I9" s="2" t="s">
        <v>26</v>
      </c>
      <c r="J9" s="2" t="s">
        <v>47</v>
      </c>
      <c r="K9" s="2" t="s">
        <v>37</v>
      </c>
      <c r="L9" s="1" t="s">
        <v>46</v>
      </c>
      <c r="M9" s="2" t="s">
        <v>46</v>
      </c>
      <c r="P9" s="7" t="str">
        <f t="shared" ca="1" si="0"/>
        <v/>
      </c>
      <c r="Q9" s="2">
        <v>21</v>
      </c>
      <c r="R9" s="2">
        <v>10</v>
      </c>
      <c r="S9" s="2">
        <v>5</v>
      </c>
      <c r="T9" s="2">
        <v>13</v>
      </c>
      <c r="U9" s="2" t="s">
        <v>45</v>
      </c>
      <c r="V9" s="2">
        <v>27</v>
      </c>
      <c r="W9" s="2" t="s">
        <v>45</v>
      </c>
      <c r="X9" s="2" t="s">
        <v>45</v>
      </c>
      <c r="Y9" s="2" t="s">
        <v>47</v>
      </c>
      <c r="Z9" s="2">
        <v>40</v>
      </c>
      <c r="AA9" s="2">
        <v>9</v>
      </c>
      <c r="AB9" s="1">
        <v>0</v>
      </c>
      <c r="AC9" s="2">
        <v>13</v>
      </c>
      <c r="AD9" s="2" t="s">
        <v>45</v>
      </c>
      <c r="AE9" s="2" t="s">
        <v>45</v>
      </c>
      <c r="AF9" s="2" t="s">
        <v>45</v>
      </c>
      <c r="AG9" s="2" t="s">
        <v>46</v>
      </c>
      <c r="AH9" s="2" t="s">
        <v>45</v>
      </c>
      <c r="AI9" s="2" t="s">
        <v>46</v>
      </c>
      <c r="AJ9" s="2" t="s">
        <v>45</v>
      </c>
      <c r="AK9" s="2" t="s">
        <v>46</v>
      </c>
      <c r="AL9" s="1"/>
      <c r="AM9" s="1"/>
    </row>
    <row r="10" spans="1:39" x14ac:dyDescent="0.3">
      <c r="B10" s="5">
        <v>6</v>
      </c>
      <c r="C10" s="2">
        <v>30</v>
      </c>
      <c r="D10" s="2" t="s">
        <v>7</v>
      </c>
      <c r="E10" s="2" t="s">
        <v>178</v>
      </c>
      <c r="F10" s="2" t="s">
        <v>6</v>
      </c>
      <c r="G10" s="2" t="s">
        <v>48</v>
      </c>
      <c r="H10" s="2" t="s">
        <v>15</v>
      </c>
      <c r="I10" s="2" t="s">
        <v>27</v>
      </c>
      <c r="J10" s="2" t="s">
        <v>47</v>
      </c>
      <c r="K10" s="2" t="s">
        <v>38</v>
      </c>
      <c r="L10" s="1" t="s">
        <v>46</v>
      </c>
      <c r="M10" s="2" t="s">
        <v>46</v>
      </c>
      <c r="P10" s="7" t="str">
        <f t="shared" ca="1" si="0"/>
        <v/>
      </c>
      <c r="Q10" s="2">
        <v>20</v>
      </c>
      <c r="R10" s="2">
        <v>10</v>
      </c>
      <c r="S10" s="2">
        <v>5</v>
      </c>
      <c r="T10" s="2">
        <v>13</v>
      </c>
      <c r="U10" s="2" t="s">
        <v>45</v>
      </c>
      <c r="V10" s="2">
        <v>26</v>
      </c>
      <c r="W10" s="2" t="s">
        <v>45</v>
      </c>
      <c r="X10" s="2" t="s">
        <v>45</v>
      </c>
      <c r="Y10" s="2" t="s">
        <v>47</v>
      </c>
      <c r="Z10" s="2">
        <v>40</v>
      </c>
      <c r="AA10" s="2">
        <v>9</v>
      </c>
      <c r="AB10" s="1">
        <v>0</v>
      </c>
      <c r="AC10" s="2">
        <v>12</v>
      </c>
      <c r="AD10" s="2" t="s">
        <v>45</v>
      </c>
      <c r="AE10" s="2" t="s">
        <v>45</v>
      </c>
      <c r="AF10" s="2" t="s">
        <v>45</v>
      </c>
      <c r="AG10" s="2" t="s">
        <v>45</v>
      </c>
      <c r="AH10" s="2" t="s">
        <v>45</v>
      </c>
      <c r="AI10" s="2" t="s">
        <v>46</v>
      </c>
      <c r="AJ10" s="2" t="s">
        <v>45</v>
      </c>
      <c r="AK10" s="2" t="s">
        <v>46</v>
      </c>
      <c r="AL10" s="1"/>
      <c r="AM10" s="1"/>
    </row>
    <row r="11" spans="1:39" x14ac:dyDescent="0.3">
      <c r="B11" s="5">
        <v>7</v>
      </c>
      <c r="C11" s="2">
        <v>26</v>
      </c>
      <c r="D11" s="2" t="s">
        <v>7</v>
      </c>
      <c r="E11" s="2" t="s">
        <v>3</v>
      </c>
      <c r="F11" s="2" t="s">
        <v>6</v>
      </c>
      <c r="G11" s="2" t="s">
        <v>50</v>
      </c>
      <c r="H11" s="2" t="s">
        <v>14</v>
      </c>
      <c r="I11" s="2" t="s">
        <v>28</v>
      </c>
      <c r="J11" s="2" t="s">
        <v>47</v>
      </c>
      <c r="K11" s="2" t="s">
        <v>33</v>
      </c>
      <c r="L11" s="1" t="s">
        <v>46</v>
      </c>
      <c r="M11" s="2" t="s">
        <v>46</v>
      </c>
      <c r="P11" s="7" t="str">
        <f t="shared" ca="1" si="0"/>
        <v/>
      </c>
      <c r="Q11" s="2">
        <v>18</v>
      </c>
      <c r="R11" s="2">
        <v>8</v>
      </c>
      <c r="S11" s="2">
        <v>5</v>
      </c>
      <c r="T11" s="2">
        <v>13</v>
      </c>
      <c r="U11" s="2" t="s">
        <v>45</v>
      </c>
      <c r="V11" s="2">
        <v>25</v>
      </c>
      <c r="W11" s="2" t="s">
        <v>45</v>
      </c>
      <c r="X11" s="2" t="s">
        <v>47</v>
      </c>
      <c r="Y11" s="2" t="s">
        <v>47</v>
      </c>
      <c r="Z11" s="2">
        <v>40</v>
      </c>
      <c r="AA11" s="2">
        <v>8</v>
      </c>
      <c r="AB11" s="1">
        <v>16</v>
      </c>
      <c r="AC11" s="2">
        <v>10</v>
      </c>
      <c r="AD11" s="2" t="s">
        <v>45</v>
      </c>
      <c r="AE11" s="2" t="s">
        <v>45</v>
      </c>
      <c r="AF11" s="2" t="s">
        <v>45</v>
      </c>
      <c r="AG11" s="2" t="s">
        <v>45</v>
      </c>
      <c r="AH11" s="2" t="s">
        <v>45</v>
      </c>
      <c r="AI11" s="2" t="s">
        <v>46</v>
      </c>
      <c r="AJ11" s="2" t="s">
        <v>45</v>
      </c>
      <c r="AK11" s="2" t="s">
        <v>46</v>
      </c>
      <c r="AL11" s="1"/>
      <c r="AM11" s="1"/>
    </row>
    <row r="12" spans="1:39" x14ac:dyDescent="0.3">
      <c r="B12" s="5">
        <v>8</v>
      </c>
      <c r="C12" s="2">
        <v>25</v>
      </c>
      <c r="D12" s="2" t="s">
        <v>7</v>
      </c>
      <c r="E12" s="2" t="s">
        <v>4</v>
      </c>
      <c r="F12" s="2" t="s">
        <v>6</v>
      </c>
      <c r="G12" s="2" t="s">
        <v>50</v>
      </c>
      <c r="H12" s="2" t="s">
        <v>17</v>
      </c>
      <c r="I12" s="2" t="s">
        <v>23</v>
      </c>
      <c r="J12" s="2" t="s">
        <v>51</v>
      </c>
      <c r="L12" s="1" t="s">
        <v>45</v>
      </c>
      <c r="M12" s="2" t="s">
        <v>53</v>
      </c>
      <c r="N12" s="2" t="s">
        <v>39</v>
      </c>
      <c r="P12" s="7" t="str">
        <f t="shared" ca="1" si="0"/>
        <v/>
      </c>
      <c r="Q12" s="2">
        <v>18</v>
      </c>
      <c r="R12" s="2">
        <v>7</v>
      </c>
      <c r="S12" s="2">
        <v>5</v>
      </c>
      <c r="T12" s="2">
        <v>13</v>
      </c>
      <c r="U12" s="2" t="s">
        <v>45</v>
      </c>
      <c r="V12" s="2">
        <v>24</v>
      </c>
      <c r="W12" s="2" t="s">
        <v>45</v>
      </c>
      <c r="X12" s="2" t="s">
        <v>47</v>
      </c>
      <c r="Y12" s="2" t="s">
        <v>47</v>
      </c>
      <c r="Z12" s="2">
        <v>40</v>
      </c>
      <c r="AA12" s="2">
        <v>8</v>
      </c>
      <c r="AB12" s="1">
        <v>11</v>
      </c>
      <c r="AC12" s="2">
        <v>10</v>
      </c>
      <c r="AD12" s="2" t="s">
        <v>45</v>
      </c>
      <c r="AE12" s="2" t="s">
        <v>45</v>
      </c>
      <c r="AF12" s="2" t="s">
        <v>45</v>
      </c>
      <c r="AG12" s="2" t="s">
        <v>45</v>
      </c>
      <c r="AH12" s="2" t="s">
        <v>45</v>
      </c>
      <c r="AI12" s="2" t="s">
        <v>46</v>
      </c>
      <c r="AJ12" s="2" t="s">
        <v>45</v>
      </c>
      <c r="AK12" s="2" t="s">
        <v>46</v>
      </c>
      <c r="AL12" s="1"/>
      <c r="AM12" s="1"/>
    </row>
    <row r="13" spans="1:39" x14ac:dyDescent="0.3">
      <c r="B13" s="5">
        <v>9</v>
      </c>
      <c r="C13" s="2">
        <v>42</v>
      </c>
      <c r="D13" s="2" t="s">
        <v>7</v>
      </c>
      <c r="E13" s="2" t="s">
        <v>4</v>
      </c>
      <c r="F13" s="2" t="s">
        <v>6</v>
      </c>
      <c r="G13" s="2" t="s">
        <v>49</v>
      </c>
      <c r="H13" s="2" t="s">
        <v>17</v>
      </c>
      <c r="I13" s="2" t="s">
        <v>26</v>
      </c>
      <c r="J13" s="2" t="s">
        <v>47</v>
      </c>
      <c r="K13" s="2" t="s">
        <v>35</v>
      </c>
      <c r="L13" s="1" t="s">
        <v>45</v>
      </c>
      <c r="M13" s="2" t="s">
        <v>46</v>
      </c>
      <c r="P13" s="7" t="str">
        <f t="shared" ca="1" si="0"/>
        <v/>
      </c>
      <c r="Q13" s="2">
        <v>16</v>
      </c>
      <c r="R13" s="2">
        <v>7</v>
      </c>
      <c r="S13" s="2">
        <v>5</v>
      </c>
      <c r="T13" s="2">
        <v>12</v>
      </c>
      <c r="U13" s="2" t="s">
        <v>45</v>
      </c>
      <c r="V13" s="2">
        <v>23</v>
      </c>
      <c r="W13" s="2" t="s">
        <v>45</v>
      </c>
      <c r="X13" s="2" t="s">
        <v>47</v>
      </c>
      <c r="Y13" s="2" t="s">
        <v>47</v>
      </c>
      <c r="Z13" s="2">
        <v>40</v>
      </c>
      <c r="AA13" s="2">
        <v>8</v>
      </c>
      <c r="AB13" s="1">
        <v>10</v>
      </c>
      <c r="AC13" s="2">
        <v>9</v>
      </c>
      <c r="AD13" s="2" t="s">
        <v>47</v>
      </c>
      <c r="AE13" s="2" t="s">
        <v>45</v>
      </c>
      <c r="AF13" s="2" t="s">
        <v>45</v>
      </c>
      <c r="AG13" s="2" t="s">
        <v>45</v>
      </c>
      <c r="AH13" s="2" t="s">
        <v>45</v>
      </c>
      <c r="AI13" s="2" t="s">
        <v>46</v>
      </c>
      <c r="AJ13" s="2" t="s">
        <v>45</v>
      </c>
      <c r="AK13" s="2" t="s">
        <v>46</v>
      </c>
      <c r="AL13" s="1"/>
      <c r="AM13" s="1"/>
    </row>
    <row r="14" spans="1:39" x14ac:dyDescent="0.3">
      <c r="B14" s="5">
        <v>10</v>
      </c>
      <c r="C14" s="2">
        <v>60</v>
      </c>
      <c r="D14" s="2" t="s">
        <v>8</v>
      </c>
      <c r="E14" s="2" t="s">
        <v>5</v>
      </c>
      <c r="F14" s="2" t="s">
        <v>6</v>
      </c>
      <c r="G14" s="2" t="s">
        <v>49</v>
      </c>
      <c r="H14" s="2" t="s">
        <v>14</v>
      </c>
      <c r="I14" s="2" t="s">
        <v>181</v>
      </c>
      <c r="J14" s="2" t="s">
        <v>45</v>
      </c>
      <c r="L14" s="1" t="s">
        <v>45</v>
      </c>
      <c r="M14" s="2" t="s">
        <v>180</v>
      </c>
      <c r="O14" s="6"/>
      <c r="P14" s="7" t="str">
        <f t="shared" ca="1" si="0"/>
        <v/>
      </c>
      <c r="Q14" s="2">
        <v>16</v>
      </c>
      <c r="R14" s="2">
        <v>7</v>
      </c>
      <c r="S14" s="2">
        <v>5</v>
      </c>
      <c r="T14" s="2">
        <v>11</v>
      </c>
      <c r="U14" s="2" t="s">
        <v>45</v>
      </c>
      <c r="V14" s="2">
        <v>23</v>
      </c>
      <c r="W14" s="2" t="s">
        <v>45</v>
      </c>
      <c r="X14" s="2" t="s">
        <v>47</v>
      </c>
      <c r="Y14" s="2" t="s">
        <v>47</v>
      </c>
      <c r="Z14" s="2">
        <v>30</v>
      </c>
      <c r="AA14" s="2">
        <v>8</v>
      </c>
      <c r="AB14" s="1">
        <v>9</v>
      </c>
      <c r="AC14" s="2">
        <v>8</v>
      </c>
      <c r="AD14" s="2" t="s">
        <v>47</v>
      </c>
      <c r="AE14" s="2" t="s">
        <v>47</v>
      </c>
      <c r="AF14" s="2" t="s">
        <v>45</v>
      </c>
      <c r="AG14" s="2" t="s">
        <v>45</v>
      </c>
      <c r="AH14" s="2" t="s">
        <v>46</v>
      </c>
      <c r="AI14" s="2" t="s">
        <v>46</v>
      </c>
      <c r="AJ14" s="2" t="s">
        <v>45</v>
      </c>
      <c r="AK14" s="2" t="s">
        <v>47</v>
      </c>
      <c r="AL14" s="1"/>
      <c r="AM14" s="1"/>
    </row>
    <row r="15" spans="1:39" x14ac:dyDescent="0.3">
      <c r="B15" s="5">
        <v>11</v>
      </c>
      <c r="C15" s="2">
        <v>60</v>
      </c>
      <c r="D15" s="2" t="s">
        <v>9</v>
      </c>
      <c r="E15" s="2" t="s">
        <v>5</v>
      </c>
      <c r="F15" s="2" t="s">
        <v>6</v>
      </c>
      <c r="G15" s="2" t="s">
        <v>49</v>
      </c>
      <c r="H15" s="2" t="s">
        <v>15</v>
      </c>
      <c r="I15" s="2" t="s">
        <v>25</v>
      </c>
      <c r="J15" s="2" t="s">
        <v>45</v>
      </c>
      <c r="L15" s="1" t="s">
        <v>45</v>
      </c>
      <c r="M15" s="2" t="s">
        <v>52</v>
      </c>
      <c r="O15" s="6">
        <v>45136</v>
      </c>
      <c r="P15" s="7" t="str">
        <f t="shared" ca="1" si="0"/>
        <v>3 Years</v>
      </c>
      <c r="Q15" s="2">
        <v>15</v>
      </c>
      <c r="R15" s="2">
        <v>7</v>
      </c>
      <c r="S15" s="2">
        <v>5</v>
      </c>
      <c r="T15" s="2">
        <v>10</v>
      </c>
      <c r="U15" s="2" t="s">
        <v>45</v>
      </c>
      <c r="V15" s="2">
        <v>23</v>
      </c>
      <c r="W15" s="2" t="s">
        <v>45</v>
      </c>
      <c r="X15" s="2" t="s">
        <v>47</v>
      </c>
      <c r="Y15" s="2" t="s">
        <v>45</v>
      </c>
      <c r="Z15" s="2">
        <v>30</v>
      </c>
      <c r="AA15" s="2">
        <v>7</v>
      </c>
      <c r="AB15" s="1">
        <v>0</v>
      </c>
      <c r="AC15" s="2">
        <v>8</v>
      </c>
      <c r="AD15" s="2" t="s">
        <v>47</v>
      </c>
      <c r="AE15" s="2" t="s">
        <v>45</v>
      </c>
      <c r="AF15" s="2" t="s">
        <v>45</v>
      </c>
      <c r="AG15" s="2" t="s">
        <v>45</v>
      </c>
      <c r="AH15" s="2" t="s">
        <v>46</v>
      </c>
      <c r="AI15" s="2" t="s">
        <v>46</v>
      </c>
      <c r="AJ15" s="2" t="s">
        <v>45</v>
      </c>
      <c r="AK15" s="2" t="s">
        <v>47</v>
      </c>
      <c r="AL15" s="1"/>
      <c r="AM15" s="1"/>
    </row>
    <row r="16" spans="1:39" x14ac:dyDescent="0.3">
      <c r="B16" s="5">
        <v>12</v>
      </c>
      <c r="C16" s="2">
        <v>35</v>
      </c>
      <c r="D16" s="2" t="s">
        <v>8</v>
      </c>
      <c r="E16" s="2" t="s">
        <v>5</v>
      </c>
      <c r="F16" s="2" t="s">
        <v>6</v>
      </c>
      <c r="G16" s="2" t="s">
        <v>49</v>
      </c>
      <c r="H16" s="2" t="s">
        <v>14</v>
      </c>
      <c r="I16" s="2" t="s">
        <v>26</v>
      </c>
      <c r="J16" s="2" t="s">
        <v>47</v>
      </c>
      <c r="K16" s="2" t="s">
        <v>36</v>
      </c>
      <c r="L16" s="1" t="s">
        <v>46</v>
      </c>
      <c r="M16" s="2" t="s">
        <v>46</v>
      </c>
      <c r="P16" s="7" t="str">
        <f t="shared" ca="1" si="0"/>
        <v/>
      </c>
      <c r="Q16" s="2">
        <v>14</v>
      </c>
      <c r="R16" s="2">
        <v>7</v>
      </c>
      <c r="S16" s="2">
        <v>5</v>
      </c>
      <c r="T16" s="2">
        <v>10</v>
      </c>
      <c r="U16" s="2" t="s">
        <v>45</v>
      </c>
      <c r="V16" s="2">
        <v>22</v>
      </c>
      <c r="W16" s="2" t="s">
        <v>45</v>
      </c>
      <c r="X16" s="2" t="s">
        <v>47</v>
      </c>
      <c r="Y16" s="2" t="s">
        <v>47</v>
      </c>
      <c r="Z16" s="2">
        <v>30</v>
      </c>
      <c r="AA16" s="2">
        <v>7</v>
      </c>
      <c r="AB16" s="1">
        <v>13</v>
      </c>
      <c r="AC16" s="2">
        <v>8</v>
      </c>
      <c r="AD16" s="2" t="s">
        <v>47</v>
      </c>
      <c r="AE16" s="2" t="s">
        <v>45</v>
      </c>
      <c r="AF16" s="2" t="s">
        <v>47</v>
      </c>
      <c r="AG16" s="2" t="s">
        <v>45</v>
      </c>
      <c r="AH16" s="2" t="s">
        <v>46</v>
      </c>
      <c r="AI16" s="2" t="s">
        <v>46</v>
      </c>
      <c r="AJ16" s="2" t="s">
        <v>45</v>
      </c>
      <c r="AK16" s="2" t="s">
        <v>47</v>
      </c>
      <c r="AL16" s="1"/>
      <c r="AM16" s="1"/>
    </row>
    <row r="17" spans="2:39" x14ac:dyDescent="0.3">
      <c r="B17" s="5">
        <v>13</v>
      </c>
      <c r="C17" s="2">
        <v>33</v>
      </c>
      <c r="D17" s="2" t="s">
        <v>8</v>
      </c>
      <c r="E17" s="2" t="s">
        <v>5</v>
      </c>
      <c r="F17" s="2" t="s">
        <v>6</v>
      </c>
      <c r="G17" s="2" t="s">
        <v>49</v>
      </c>
      <c r="H17" s="2" t="s">
        <v>15</v>
      </c>
      <c r="I17" s="2" t="s">
        <v>27</v>
      </c>
      <c r="J17" s="2" t="s">
        <v>45</v>
      </c>
      <c r="L17" s="1" t="s">
        <v>45</v>
      </c>
      <c r="M17" s="2" t="s">
        <v>53</v>
      </c>
      <c r="N17" s="2" t="s">
        <v>39</v>
      </c>
      <c r="O17" s="6">
        <v>45340</v>
      </c>
      <c r="P17" s="7" t="str">
        <f t="shared" ca="1" si="0"/>
        <v>1 Year</v>
      </c>
      <c r="Q17" s="2">
        <v>13</v>
      </c>
      <c r="R17" s="2">
        <v>7</v>
      </c>
      <c r="S17" s="2">
        <v>4</v>
      </c>
      <c r="T17" s="2">
        <v>10</v>
      </c>
      <c r="U17" s="2" t="s">
        <v>45</v>
      </c>
      <c r="V17" s="2">
        <v>22</v>
      </c>
      <c r="W17" s="2" t="s">
        <v>45</v>
      </c>
      <c r="X17" s="2" t="s">
        <v>47</v>
      </c>
      <c r="Y17" s="2" t="s">
        <v>47</v>
      </c>
      <c r="Z17" s="2">
        <v>30</v>
      </c>
      <c r="AA17" s="2">
        <v>7</v>
      </c>
      <c r="AB17" s="1">
        <v>5</v>
      </c>
      <c r="AC17" s="2">
        <v>7</v>
      </c>
      <c r="AD17" s="2" t="s">
        <v>47</v>
      </c>
      <c r="AE17" s="2" t="s">
        <v>45</v>
      </c>
      <c r="AF17" s="2" t="s">
        <v>47</v>
      </c>
      <c r="AG17" s="2" t="s">
        <v>47</v>
      </c>
      <c r="AH17" s="2" t="s">
        <v>46</v>
      </c>
      <c r="AI17" s="2" t="s">
        <v>45</v>
      </c>
      <c r="AJ17" s="2" t="s">
        <v>45</v>
      </c>
      <c r="AK17" s="2" t="s">
        <v>45</v>
      </c>
      <c r="AL17" s="1" t="s">
        <v>17</v>
      </c>
      <c r="AM17" s="1" t="s">
        <v>32</v>
      </c>
    </row>
    <row r="18" spans="2:39" x14ac:dyDescent="0.3">
      <c r="B18" s="5">
        <v>14</v>
      </c>
      <c r="C18" s="2">
        <v>32</v>
      </c>
      <c r="D18" s="2" t="s">
        <v>8</v>
      </c>
      <c r="E18" s="2" t="s">
        <v>5</v>
      </c>
      <c r="F18" s="2" t="s">
        <v>6</v>
      </c>
      <c r="G18" s="2" t="s">
        <v>49</v>
      </c>
      <c r="H18" s="2" t="s">
        <v>14</v>
      </c>
      <c r="I18" s="2" t="s">
        <v>28</v>
      </c>
      <c r="J18" s="2" t="s">
        <v>45</v>
      </c>
      <c r="L18" s="1" t="s">
        <v>47</v>
      </c>
      <c r="M18" s="2" t="s">
        <v>54</v>
      </c>
      <c r="N18" s="2" t="s">
        <v>40</v>
      </c>
      <c r="P18" s="7" t="str">
        <f t="shared" ca="1" si="0"/>
        <v/>
      </c>
      <c r="Q18" s="2">
        <v>12</v>
      </c>
      <c r="R18" s="2">
        <v>7</v>
      </c>
      <c r="S18" s="2">
        <v>4</v>
      </c>
      <c r="T18" s="2">
        <v>9</v>
      </c>
      <c r="U18" s="2" t="s">
        <v>45</v>
      </c>
      <c r="V18" s="2">
        <v>22</v>
      </c>
      <c r="W18" s="2" t="s">
        <v>45</v>
      </c>
      <c r="X18" s="2" t="s">
        <v>47</v>
      </c>
      <c r="Y18" s="2" t="s">
        <v>47</v>
      </c>
      <c r="Z18" s="2">
        <v>30</v>
      </c>
      <c r="AA18" s="2">
        <v>7</v>
      </c>
      <c r="AB18" s="1">
        <v>0</v>
      </c>
      <c r="AC18" s="2">
        <v>7</v>
      </c>
      <c r="AD18" s="2" t="s">
        <v>47</v>
      </c>
      <c r="AE18" s="2" t="s">
        <v>45</v>
      </c>
      <c r="AF18" s="2" t="s">
        <v>47</v>
      </c>
      <c r="AG18" s="2" t="s">
        <v>47</v>
      </c>
      <c r="AH18" s="2" t="s">
        <v>46</v>
      </c>
      <c r="AI18" s="2" t="s">
        <v>45</v>
      </c>
      <c r="AJ18" s="2" t="s">
        <v>45</v>
      </c>
      <c r="AK18" s="2" t="s">
        <v>47</v>
      </c>
      <c r="AL18" s="1"/>
      <c r="AM18" s="1"/>
    </row>
    <row r="19" spans="2:39" x14ac:dyDescent="0.3">
      <c r="B19" s="5">
        <v>15</v>
      </c>
      <c r="C19" s="2">
        <v>29</v>
      </c>
      <c r="D19" s="2" t="s">
        <v>7</v>
      </c>
      <c r="E19" s="2" t="s">
        <v>5</v>
      </c>
      <c r="F19" s="2" t="s">
        <v>6</v>
      </c>
      <c r="G19" s="2" t="s">
        <v>49</v>
      </c>
      <c r="H19" s="2" t="s">
        <v>17</v>
      </c>
      <c r="I19" s="2" t="s">
        <v>23</v>
      </c>
      <c r="J19" s="2" t="s">
        <v>47</v>
      </c>
      <c r="K19" s="2" t="s">
        <v>34</v>
      </c>
      <c r="L19" s="1" t="s">
        <v>45</v>
      </c>
      <c r="M19" s="2" t="s">
        <v>46</v>
      </c>
      <c r="P19" s="7" t="str">
        <f t="shared" ca="1" si="0"/>
        <v/>
      </c>
      <c r="Q19" s="2">
        <v>11</v>
      </c>
      <c r="R19" s="2">
        <v>7</v>
      </c>
      <c r="S19" s="2">
        <v>4</v>
      </c>
      <c r="T19" s="2">
        <v>9</v>
      </c>
      <c r="U19" s="2" t="s">
        <v>45</v>
      </c>
      <c r="V19" s="2">
        <v>18</v>
      </c>
      <c r="W19" s="2" t="s">
        <v>45</v>
      </c>
      <c r="X19" s="2" t="s">
        <v>47</v>
      </c>
      <c r="Y19" s="2" t="s">
        <v>47</v>
      </c>
      <c r="Z19" s="2">
        <v>30</v>
      </c>
      <c r="AA19" s="2">
        <v>7</v>
      </c>
      <c r="AB19" s="1">
        <v>3</v>
      </c>
      <c r="AC19" s="2">
        <v>7</v>
      </c>
      <c r="AD19" s="2" t="s">
        <v>47</v>
      </c>
      <c r="AE19" s="2" t="s">
        <v>45</v>
      </c>
      <c r="AF19" s="2" t="s">
        <v>47</v>
      </c>
      <c r="AG19" s="2" t="s">
        <v>47</v>
      </c>
      <c r="AH19" s="2" t="s">
        <v>46</v>
      </c>
      <c r="AI19" s="2" t="s">
        <v>45</v>
      </c>
      <c r="AJ19" s="2" t="s">
        <v>45</v>
      </c>
      <c r="AK19" s="2" t="s">
        <v>47</v>
      </c>
      <c r="AL19" s="1"/>
      <c r="AM19" s="1"/>
    </row>
    <row r="20" spans="2:39" x14ac:dyDescent="0.3">
      <c r="B20" s="5">
        <v>16</v>
      </c>
      <c r="C20" s="2">
        <v>27</v>
      </c>
      <c r="D20" s="2" t="s">
        <v>8</v>
      </c>
      <c r="E20" s="2" t="s">
        <v>4</v>
      </c>
      <c r="F20" s="2" t="s">
        <v>6</v>
      </c>
      <c r="G20" s="2" t="s">
        <v>48</v>
      </c>
      <c r="H20" s="2" t="s">
        <v>17</v>
      </c>
      <c r="I20" s="2" t="s">
        <v>29</v>
      </c>
      <c r="J20" s="2" t="s">
        <v>45</v>
      </c>
      <c r="L20" s="1" t="s">
        <v>45</v>
      </c>
      <c r="M20" s="2" t="s">
        <v>52</v>
      </c>
      <c r="O20" s="6">
        <v>45565</v>
      </c>
      <c r="P20" s="7" t="str">
        <f t="shared" ca="1" si="0"/>
        <v>6 Months</v>
      </c>
      <c r="Q20" s="2">
        <v>10</v>
      </c>
      <c r="R20" s="2">
        <v>0</v>
      </c>
      <c r="S20" s="2">
        <v>4</v>
      </c>
      <c r="T20" s="2">
        <v>9</v>
      </c>
      <c r="U20" s="2" t="s">
        <v>45</v>
      </c>
      <c r="V20" s="2">
        <v>17</v>
      </c>
      <c r="W20" s="2" t="s">
        <v>45</v>
      </c>
      <c r="X20" s="2" t="s">
        <v>47</v>
      </c>
      <c r="Y20" s="2" t="s">
        <v>45</v>
      </c>
      <c r="Z20" s="2">
        <v>30</v>
      </c>
      <c r="AA20" s="2">
        <v>7</v>
      </c>
      <c r="AB20" s="1">
        <v>6</v>
      </c>
      <c r="AC20" s="2">
        <v>7</v>
      </c>
      <c r="AD20" s="2" t="s">
        <v>47</v>
      </c>
      <c r="AE20" s="2" t="s">
        <v>45</v>
      </c>
      <c r="AF20" s="2" t="s">
        <v>47</v>
      </c>
      <c r="AG20" s="2" t="s">
        <v>47</v>
      </c>
      <c r="AH20" s="2" t="s">
        <v>46</v>
      </c>
      <c r="AI20" s="2" t="s">
        <v>46</v>
      </c>
      <c r="AJ20" s="2" t="s">
        <v>46</v>
      </c>
      <c r="AK20" s="2" t="s">
        <v>45</v>
      </c>
      <c r="AL20" s="1" t="s">
        <v>17</v>
      </c>
      <c r="AM20" s="1" t="s">
        <v>31</v>
      </c>
    </row>
    <row r="21" spans="2:39" x14ac:dyDescent="0.3">
      <c r="B21" s="5">
        <v>17</v>
      </c>
      <c r="C21" s="2">
        <v>26</v>
      </c>
      <c r="D21" s="2" t="s">
        <v>7</v>
      </c>
      <c r="E21" s="2" t="s">
        <v>4</v>
      </c>
      <c r="F21" s="2" t="s">
        <v>6</v>
      </c>
      <c r="G21" s="2" t="s">
        <v>48</v>
      </c>
      <c r="H21" s="2" t="s">
        <v>14</v>
      </c>
      <c r="I21" s="2" t="s">
        <v>181</v>
      </c>
      <c r="J21" s="2" t="s">
        <v>45</v>
      </c>
      <c r="L21" s="1" t="s">
        <v>45</v>
      </c>
      <c r="M21" s="2" t="s">
        <v>52</v>
      </c>
      <c r="O21" s="6">
        <v>45427</v>
      </c>
      <c r="P21" s="7" t="str">
        <f t="shared" ca="1" si="0"/>
        <v>1 Year</v>
      </c>
      <c r="Q21" s="2">
        <v>10</v>
      </c>
      <c r="R21" s="2">
        <v>6</v>
      </c>
      <c r="S21" s="2">
        <v>4</v>
      </c>
      <c r="T21" s="2">
        <v>9</v>
      </c>
      <c r="U21" s="2" t="s">
        <v>45</v>
      </c>
      <c r="V21" s="2">
        <v>16</v>
      </c>
      <c r="W21" s="2" t="s">
        <v>45</v>
      </c>
      <c r="X21" s="2" t="s">
        <v>47</v>
      </c>
      <c r="Y21" s="2" t="s">
        <v>45</v>
      </c>
      <c r="Z21" s="2">
        <v>30</v>
      </c>
      <c r="AA21" s="2">
        <v>6</v>
      </c>
      <c r="AB21" s="1">
        <v>4</v>
      </c>
      <c r="AC21" s="2">
        <v>7</v>
      </c>
      <c r="AD21" s="2" t="s">
        <v>47</v>
      </c>
      <c r="AE21" s="2" t="s">
        <v>45</v>
      </c>
      <c r="AF21" s="2" t="s">
        <v>47</v>
      </c>
      <c r="AG21" s="2" t="s">
        <v>47</v>
      </c>
      <c r="AH21" s="2" t="s">
        <v>46</v>
      </c>
      <c r="AI21" s="2" t="s">
        <v>46</v>
      </c>
      <c r="AJ21" s="2" t="s">
        <v>45</v>
      </c>
      <c r="AK21" s="2" t="s">
        <v>45</v>
      </c>
      <c r="AL21" s="2" t="s">
        <v>15</v>
      </c>
      <c r="AM21" s="2" t="s">
        <v>25</v>
      </c>
    </row>
    <row r="22" spans="2:39" x14ac:dyDescent="0.3">
      <c r="B22" s="5">
        <v>18</v>
      </c>
      <c r="C22" s="2">
        <v>26</v>
      </c>
      <c r="D22" s="2" t="s">
        <v>8</v>
      </c>
      <c r="E22" s="2" t="s">
        <v>4</v>
      </c>
      <c r="F22" s="2" t="s">
        <v>6</v>
      </c>
      <c r="G22" s="2" t="s">
        <v>48</v>
      </c>
      <c r="H22" s="2" t="s">
        <v>15</v>
      </c>
      <c r="I22" s="2" t="s">
        <v>25</v>
      </c>
      <c r="J22" s="2" t="s">
        <v>45</v>
      </c>
      <c r="L22" s="1" t="s">
        <v>45</v>
      </c>
      <c r="M22" s="2" t="s">
        <v>52</v>
      </c>
      <c r="O22" s="6">
        <v>45428</v>
      </c>
      <c r="P22" s="7" t="str">
        <f t="shared" ca="1" si="0"/>
        <v>1 Year</v>
      </c>
      <c r="Q22" s="2">
        <v>10</v>
      </c>
      <c r="R22" s="2">
        <v>6</v>
      </c>
      <c r="S22" s="2">
        <v>4</v>
      </c>
      <c r="T22" s="2">
        <v>9</v>
      </c>
      <c r="U22" s="2" t="s">
        <v>46</v>
      </c>
      <c r="V22" s="2">
        <v>16</v>
      </c>
      <c r="W22" s="2" t="s">
        <v>45</v>
      </c>
      <c r="X22" s="2" t="s">
        <v>47</v>
      </c>
      <c r="Y22" s="2" t="s">
        <v>45</v>
      </c>
      <c r="Z22" s="2">
        <v>30</v>
      </c>
      <c r="AA22" s="2">
        <v>6</v>
      </c>
      <c r="AB22" s="1">
        <v>7</v>
      </c>
      <c r="AC22" s="2">
        <v>7</v>
      </c>
      <c r="AD22" s="2" t="s">
        <v>47</v>
      </c>
      <c r="AE22" s="2" t="s">
        <v>45</v>
      </c>
      <c r="AF22" s="2" t="s">
        <v>47</v>
      </c>
      <c r="AG22" s="2" t="s">
        <v>47</v>
      </c>
      <c r="AH22" s="2" t="s">
        <v>46</v>
      </c>
      <c r="AI22" s="2" t="s">
        <v>46</v>
      </c>
      <c r="AJ22" s="2" t="s">
        <v>46</v>
      </c>
      <c r="AK22" s="2" t="s">
        <v>45</v>
      </c>
      <c r="AL22" s="1" t="s">
        <v>17</v>
      </c>
      <c r="AM22" s="2" t="s">
        <v>29</v>
      </c>
    </row>
    <row r="23" spans="2:39" x14ac:dyDescent="0.3">
      <c r="B23" s="5">
        <v>19</v>
      </c>
      <c r="C23" s="2">
        <v>55</v>
      </c>
      <c r="D23" s="2" t="s">
        <v>7</v>
      </c>
      <c r="E23" s="2" t="s">
        <v>4</v>
      </c>
      <c r="F23" s="2" t="s">
        <v>6</v>
      </c>
      <c r="G23" s="2" t="s">
        <v>48</v>
      </c>
      <c r="H23" s="2" t="s">
        <v>14</v>
      </c>
      <c r="I23" s="2" t="s">
        <v>26</v>
      </c>
      <c r="J23" s="2" t="s">
        <v>45</v>
      </c>
      <c r="L23" s="1" t="s">
        <v>45</v>
      </c>
      <c r="M23" s="2" t="s">
        <v>52</v>
      </c>
      <c r="O23" s="6">
        <v>45245</v>
      </c>
      <c r="P23" s="7" t="str">
        <f t="shared" ca="1" si="0"/>
        <v>3 Years</v>
      </c>
      <c r="Q23" s="2">
        <v>10</v>
      </c>
      <c r="R23" s="2">
        <v>6</v>
      </c>
      <c r="S23" s="2">
        <v>3</v>
      </c>
      <c r="T23" s="2">
        <v>9</v>
      </c>
      <c r="U23" s="2" t="s">
        <v>47</v>
      </c>
      <c r="V23" s="2">
        <v>16</v>
      </c>
      <c r="W23" s="2" t="s">
        <v>45</v>
      </c>
      <c r="X23" s="2" t="s">
        <v>47</v>
      </c>
      <c r="Y23" s="2" t="s">
        <v>45</v>
      </c>
      <c r="Z23" s="2">
        <v>25</v>
      </c>
      <c r="AA23" s="2">
        <v>6</v>
      </c>
      <c r="AB23" s="1">
        <v>0</v>
      </c>
      <c r="AC23" s="2">
        <v>7</v>
      </c>
      <c r="AD23" s="2" t="s">
        <v>47</v>
      </c>
      <c r="AE23" s="2" t="s">
        <v>45</v>
      </c>
      <c r="AF23" s="2" t="s">
        <v>47</v>
      </c>
      <c r="AG23" s="2" t="s">
        <v>47</v>
      </c>
      <c r="AH23" s="2" t="s">
        <v>46</v>
      </c>
      <c r="AI23" s="2" t="s">
        <v>46</v>
      </c>
      <c r="AJ23" s="2" t="s">
        <v>46</v>
      </c>
      <c r="AK23" s="2" t="s">
        <v>45</v>
      </c>
      <c r="AL23" s="1" t="s">
        <v>17</v>
      </c>
      <c r="AM23" s="1" t="s">
        <v>31</v>
      </c>
    </row>
    <row r="24" spans="2:39" x14ac:dyDescent="0.3">
      <c r="B24" s="5">
        <v>20</v>
      </c>
      <c r="C24" s="2">
        <v>47</v>
      </c>
      <c r="D24" s="2" t="s">
        <v>8</v>
      </c>
      <c r="E24" s="2" t="s">
        <v>4</v>
      </c>
      <c r="F24" s="2" t="s">
        <v>6</v>
      </c>
      <c r="G24" s="2" t="s">
        <v>50</v>
      </c>
      <c r="H24" s="2" t="s">
        <v>15</v>
      </c>
      <c r="I24" s="2" t="s">
        <v>27</v>
      </c>
      <c r="J24" s="2" t="s">
        <v>45</v>
      </c>
      <c r="L24" s="1" t="s">
        <v>47</v>
      </c>
      <c r="M24" s="2" t="s">
        <v>54</v>
      </c>
      <c r="N24" s="2" t="s">
        <v>179</v>
      </c>
      <c r="P24" s="7" t="str">
        <f t="shared" ca="1" si="0"/>
        <v/>
      </c>
      <c r="Q24" s="2">
        <v>10</v>
      </c>
      <c r="R24" s="2">
        <v>6</v>
      </c>
      <c r="S24" s="2">
        <v>3</v>
      </c>
      <c r="T24" s="2">
        <v>6</v>
      </c>
      <c r="U24" s="2" t="s">
        <v>45</v>
      </c>
      <c r="V24" s="2">
        <v>15</v>
      </c>
      <c r="W24" s="2" t="s">
        <v>45</v>
      </c>
      <c r="X24" s="2" t="s">
        <v>47</v>
      </c>
      <c r="Y24" s="2" t="s">
        <v>47</v>
      </c>
      <c r="Z24" s="2">
        <v>20</v>
      </c>
      <c r="AA24" s="2">
        <v>6</v>
      </c>
      <c r="AB24" s="1">
        <v>0</v>
      </c>
      <c r="AC24" s="2">
        <v>7</v>
      </c>
      <c r="AD24" s="2" t="s">
        <v>47</v>
      </c>
      <c r="AE24" s="2" t="s">
        <v>45</v>
      </c>
      <c r="AF24" s="2" t="s">
        <v>47</v>
      </c>
      <c r="AG24" s="2" t="s">
        <v>47</v>
      </c>
      <c r="AH24" s="2" t="s">
        <v>45</v>
      </c>
      <c r="AI24" s="2" t="s">
        <v>46</v>
      </c>
      <c r="AJ24" s="2" t="s">
        <v>46</v>
      </c>
      <c r="AK24" s="2" t="s">
        <v>47</v>
      </c>
      <c r="AL24" s="1"/>
      <c r="AM24" s="1"/>
    </row>
    <row r="25" spans="2:39" x14ac:dyDescent="0.3">
      <c r="B25" s="5">
        <v>21</v>
      </c>
      <c r="C25" s="2">
        <v>50</v>
      </c>
      <c r="D25" s="2" t="s">
        <v>7</v>
      </c>
      <c r="E25" s="2" t="s">
        <v>4</v>
      </c>
      <c r="F25" s="2" t="s">
        <v>6</v>
      </c>
      <c r="G25" s="2" t="s">
        <v>49</v>
      </c>
      <c r="H25" s="2" t="s">
        <v>14</v>
      </c>
      <c r="I25" s="2" t="s">
        <v>28</v>
      </c>
      <c r="J25" s="2" t="s">
        <v>47</v>
      </c>
      <c r="K25" s="2" t="s">
        <v>35</v>
      </c>
      <c r="L25" s="1" t="s">
        <v>46</v>
      </c>
      <c r="M25" s="2" t="s">
        <v>46</v>
      </c>
      <c r="P25" s="7" t="str">
        <f t="shared" ca="1" si="0"/>
        <v/>
      </c>
      <c r="Q25" s="2">
        <v>10</v>
      </c>
      <c r="R25" s="2">
        <v>6</v>
      </c>
      <c r="S25" s="2">
        <v>3</v>
      </c>
      <c r="T25" s="2">
        <v>6</v>
      </c>
      <c r="U25" s="2" t="s">
        <v>45</v>
      </c>
      <c r="V25" s="2">
        <v>12</v>
      </c>
      <c r="W25" s="2" t="s">
        <v>45</v>
      </c>
      <c r="X25" s="2" t="s">
        <v>47</v>
      </c>
      <c r="Y25" s="2" t="s">
        <v>47</v>
      </c>
      <c r="Z25" s="2">
        <v>20</v>
      </c>
      <c r="AA25" s="2">
        <v>6</v>
      </c>
      <c r="AB25" s="1">
        <v>0</v>
      </c>
      <c r="AC25" s="2">
        <v>7</v>
      </c>
      <c r="AD25" s="2" t="s">
        <v>47</v>
      </c>
      <c r="AE25" s="2" t="s">
        <v>45</v>
      </c>
      <c r="AF25" s="2" t="s">
        <v>47</v>
      </c>
      <c r="AG25" s="2" t="s">
        <v>47</v>
      </c>
      <c r="AH25" s="2" t="s">
        <v>46</v>
      </c>
      <c r="AI25" s="2" t="s">
        <v>46</v>
      </c>
      <c r="AJ25" s="2" t="s">
        <v>46</v>
      </c>
      <c r="AK25" s="2" t="s">
        <v>47</v>
      </c>
      <c r="AL25" s="1"/>
      <c r="AM25" s="1"/>
    </row>
    <row r="26" spans="2:39" x14ac:dyDescent="0.3">
      <c r="B26" s="5">
        <v>22</v>
      </c>
      <c r="C26" s="2">
        <v>43</v>
      </c>
      <c r="D26" s="2" t="s">
        <v>7</v>
      </c>
      <c r="E26" s="2" t="s">
        <v>3</v>
      </c>
      <c r="F26" s="2" t="s">
        <v>6</v>
      </c>
      <c r="G26" s="2" t="s">
        <v>49</v>
      </c>
      <c r="H26" s="2" t="s">
        <v>17</v>
      </c>
      <c r="I26" s="2" t="s">
        <v>23</v>
      </c>
      <c r="J26" s="2" t="s">
        <v>47</v>
      </c>
      <c r="K26" s="2" t="s">
        <v>35</v>
      </c>
      <c r="L26" s="1" t="s">
        <v>46</v>
      </c>
      <c r="M26" s="2" t="s">
        <v>46</v>
      </c>
      <c r="P26" s="7" t="str">
        <f t="shared" ca="1" si="0"/>
        <v/>
      </c>
      <c r="Q26" s="2">
        <v>10</v>
      </c>
      <c r="R26" s="2">
        <v>6</v>
      </c>
      <c r="S26" s="2">
        <v>3</v>
      </c>
      <c r="T26" s="2">
        <v>6</v>
      </c>
      <c r="U26" s="2" t="s">
        <v>45</v>
      </c>
      <c r="V26" s="2">
        <v>11</v>
      </c>
      <c r="W26" s="2" t="s">
        <v>45</v>
      </c>
      <c r="X26" s="2" t="s">
        <v>47</v>
      </c>
      <c r="Y26" s="2" t="s">
        <v>47</v>
      </c>
      <c r="Z26" s="2">
        <v>20</v>
      </c>
      <c r="AA26" s="2">
        <v>6</v>
      </c>
      <c r="AB26" s="1">
        <v>5</v>
      </c>
      <c r="AC26" s="2">
        <v>6</v>
      </c>
      <c r="AD26" s="2" t="s">
        <v>47</v>
      </c>
      <c r="AE26" s="2" t="s">
        <v>45</v>
      </c>
      <c r="AF26" s="2" t="s">
        <v>47</v>
      </c>
      <c r="AG26" s="2" t="s">
        <v>47</v>
      </c>
      <c r="AH26" s="2" t="s">
        <v>46</v>
      </c>
      <c r="AI26" s="2" t="s">
        <v>46</v>
      </c>
      <c r="AJ26" s="2" t="s">
        <v>46</v>
      </c>
      <c r="AK26" s="2" t="s">
        <v>47</v>
      </c>
      <c r="AL26" s="1"/>
      <c r="AM26" s="1"/>
    </row>
    <row r="27" spans="2:39" x14ac:dyDescent="0.3">
      <c r="B27" s="5">
        <v>23</v>
      </c>
      <c r="C27" s="2">
        <v>39</v>
      </c>
      <c r="D27" s="2" t="s">
        <v>7</v>
      </c>
      <c r="E27" s="2" t="s">
        <v>5</v>
      </c>
      <c r="F27" s="2" t="s">
        <v>73</v>
      </c>
      <c r="G27" s="2" t="s">
        <v>49</v>
      </c>
      <c r="H27" s="2" t="s">
        <v>17</v>
      </c>
      <c r="I27" s="2" t="s">
        <v>29</v>
      </c>
      <c r="J27" s="2" t="s">
        <v>45</v>
      </c>
      <c r="L27" s="1" t="s">
        <v>45</v>
      </c>
      <c r="M27" s="2" t="s">
        <v>52</v>
      </c>
      <c r="O27" s="6">
        <v>44300</v>
      </c>
      <c r="P27" s="7" t="str">
        <f t="shared" ca="1" si="0"/>
        <v>5 Years</v>
      </c>
      <c r="Q27" s="2">
        <v>8</v>
      </c>
      <c r="R27" s="2">
        <v>5</v>
      </c>
      <c r="S27" s="2">
        <v>3</v>
      </c>
      <c r="T27" s="2">
        <v>6</v>
      </c>
      <c r="U27" s="2" t="s">
        <v>46</v>
      </c>
      <c r="V27" s="2">
        <v>10</v>
      </c>
      <c r="W27" s="2" t="s">
        <v>45</v>
      </c>
      <c r="X27" s="2" t="s">
        <v>47</v>
      </c>
      <c r="Y27" s="2" t="s">
        <v>45</v>
      </c>
      <c r="Z27" s="2">
        <v>20</v>
      </c>
      <c r="AA27" s="2">
        <v>5</v>
      </c>
      <c r="AB27" s="1">
        <v>5</v>
      </c>
      <c r="AC27" s="2">
        <v>6</v>
      </c>
      <c r="AD27" s="2" t="s">
        <v>47</v>
      </c>
      <c r="AE27" s="2" t="s">
        <v>45</v>
      </c>
      <c r="AF27" s="2" t="s">
        <v>47</v>
      </c>
      <c r="AG27" s="2" t="s">
        <v>47</v>
      </c>
      <c r="AH27" s="2" t="s">
        <v>46</v>
      </c>
      <c r="AI27" s="2" t="s">
        <v>46</v>
      </c>
      <c r="AJ27" s="2" t="s">
        <v>46</v>
      </c>
      <c r="AK27" s="2" t="s">
        <v>47</v>
      </c>
      <c r="AL27" s="1"/>
      <c r="AM27" s="1"/>
    </row>
    <row r="28" spans="2:39" x14ac:dyDescent="0.3">
      <c r="B28" s="5">
        <v>24</v>
      </c>
      <c r="C28" s="2">
        <v>36</v>
      </c>
      <c r="D28" s="2" t="s">
        <v>7</v>
      </c>
      <c r="E28" s="2" t="s">
        <v>5</v>
      </c>
      <c r="F28" s="2" t="s">
        <v>6</v>
      </c>
      <c r="G28" s="2" t="s">
        <v>48</v>
      </c>
      <c r="H28" s="2" t="s">
        <v>14</v>
      </c>
      <c r="I28" s="2" t="s">
        <v>181</v>
      </c>
      <c r="J28" s="2" t="s">
        <v>45</v>
      </c>
      <c r="L28" s="1" t="s">
        <v>45</v>
      </c>
      <c r="M28" s="2" t="s">
        <v>52</v>
      </c>
      <c r="O28" s="6">
        <v>44868</v>
      </c>
      <c r="P28" s="7" t="str">
        <f t="shared" ca="1" si="0"/>
        <v>3 Years</v>
      </c>
      <c r="Q28" s="2">
        <v>6</v>
      </c>
      <c r="R28" s="2">
        <v>4</v>
      </c>
      <c r="S28" s="2">
        <v>3</v>
      </c>
      <c r="T28" s="2">
        <v>6</v>
      </c>
      <c r="U28" s="2" t="s">
        <v>47</v>
      </c>
      <c r="V28" s="2">
        <v>8</v>
      </c>
      <c r="W28" s="2" t="s">
        <v>45</v>
      </c>
      <c r="X28" s="2" t="s">
        <v>47</v>
      </c>
      <c r="Y28" s="2" t="s">
        <v>45</v>
      </c>
      <c r="Z28" s="2">
        <v>20</v>
      </c>
      <c r="AA28" s="2">
        <v>5</v>
      </c>
      <c r="AB28" s="1">
        <v>5</v>
      </c>
      <c r="AC28" s="2">
        <v>6</v>
      </c>
      <c r="AD28" s="2" t="s">
        <v>47</v>
      </c>
      <c r="AE28" s="2" t="s">
        <v>45</v>
      </c>
      <c r="AF28" s="2" t="s">
        <v>47</v>
      </c>
      <c r="AG28" s="2" t="s">
        <v>47</v>
      </c>
      <c r="AH28" s="2" t="s">
        <v>46</v>
      </c>
      <c r="AI28" s="2" t="s">
        <v>46</v>
      </c>
      <c r="AJ28" s="2" t="s">
        <v>46</v>
      </c>
      <c r="AK28" s="2" t="s">
        <v>47</v>
      </c>
      <c r="AL28" s="1"/>
      <c r="AM28" s="1"/>
    </row>
    <row r="29" spans="2:39" x14ac:dyDescent="0.3">
      <c r="B29" s="5">
        <v>25</v>
      </c>
      <c r="C29" s="2">
        <v>35</v>
      </c>
      <c r="D29" s="2" t="s">
        <v>11</v>
      </c>
      <c r="E29" s="2" t="s">
        <v>5</v>
      </c>
      <c r="F29" s="2" t="s">
        <v>6</v>
      </c>
      <c r="G29" s="2" t="s">
        <v>48</v>
      </c>
      <c r="H29" s="2" t="s">
        <v>15</v>
      </c>
      <c r="I29" s="2" t="s">
        <v>25</v>
      </c>
      <c r="J29" s="2" t="s">
        <v>45</v>
      </c>
      <c r="L29" s="1" t="s">
        <v>45</v>
      </c>
      <c r="M29" s="2" t="s">
        <v>52</v>
      </c>
      <c r="O29" s="6">
        <v>44738</v>
      </c>
      <c r="P29" s="7" t="str">
        <f t="shared" ca="1" si="0"/>
        <v>3 Years</v>
      </c>
      <c r="Q29" s="2">
        <v>6</v>
      </c>
      <c r="R29" s="2">
        <v>4</v>
      </c>
      <c r="S29" s="2">
        <v>3</v>
      </c>
      <c r="T29" s="2">
        <v>5</v>
      </c>
      <c r="U29" s="2" t="s">
        <v>47</v>
      </c>
      <c r="V29" s="2">
        <v>7</v>
      </c>
      <c r="W29" s="2" t="s">
        <v>45</v>
      </c>
      <c r="X29" s="2" t="s">
        <v>47</v>
      </c>
      <c r="Y29" s="2" t="s">
        <v>45</v>
      </c>
      <c r="Z29" s="2">
        <v>20</v>
      </c>
      <c r="AA29" s="2">
        <v>5</v>
      </c>
      <c r="AB29" s="1">
        <v>6</v>
      </c>
      <c r="AC29" s="2">
        <v>6</v>
      </c>
      <c r="AD29" s="2" t="s">
        <v>47</v>
      </c>
      <c r="AE29" s="2" t="s">
        <v>45</v>
      </c>
      <c r="AF29" s="2" t="s">
        <v>47</v>
      </c>
      <c r="AG29" s="2" t="s">
        <v>47</v>
      </c>
      <c r="AH29" s="2" t="s">
        <v>46</v>
      </c>
      <c r="AI29" s="2" t="s">
        <v>46</v>
      </c>
      <c r="AJ29" s="2" t="s">
        <v>47</v>
      </c>
      <c r="AK29" s="2" t="s">
        <v>47</v>
      </c>
      <c r="AL29" s="1"/>
      <c r="AM29" s="1"/>
    </row>
    <row r="30" spans="2:39" x14ac:dyDescent="0.3">
      <c r="B30" s="5">
        <v>26</v>
      </c>
      <c r="C30" s="2">
        <v>27</v>
      </c>
      <c r="D30" s="2" t="s">
        <v>11</v>
      </c>
      <c r="E30" s="2" t="s">
        <v>5</v>
      </c>
      <c r="F30" s="2" t="s">
        <v>6</v>
      </c>
      <c r="G30" s="2" t="s">
        <v>48</v>
      </c>
      <c r="H30" s="2" t="s">
        <v>14</v>
      </c>
      <c r="I30" s="2" t="s">
        <v>26</v>
      </c>
      <c r="J30" s="2" t="s">
        <v>45</v>
      </c>
      <c r="L30" s="1" t="s">
        <v>45</v>
      </c>
      <c r="M30" s="2" t="s">
        <v>52</v>
      </c>
      <c r="O30" s="6">
        <v>43868</v>
      </c>
      <c r="P30" s="7" t="str">
        <f t="shared" ca="1" si="0"/>
        <v>5 Years</v>
      </c>
      <c r="Q30" s="2">
        <v>5</v>
      </c>
      <c r="R30" s="2">
        <v>4</v>
      </c>
      <c r="S30" s="2">
        <v>2</v>
      </c>
      <c r="T30" s="2">
        <v>5</v>
      </c>
      <c r="U30" s="2" t="s">
        <v>45</v>
      </c>
      <c r="V30" s="2">
        <v>6</v>
      </c>
      <c r="W30" s="2" t="s">
        <v>45</v>
      </c>
      <c r="X30" s="2" t="s">
        <v>47</v>
      </c>
      <c r="Y30" s="2" t="s">
        <v>45</v>
      </c>
      <c r="Z30" s="2">
        <v>15</v>
      </c>
      <c r="AA30" s="2">
        <v>5</v>
      </c>
      <c r="AB30" s="1">
        <v>7</v>
      </c>
      <c r="AC30" s="2">
        <v>3</v>
      </c>
      <c r="AD30" s="2" t="s">
        <v>47</v>
      </c>
      <c r="AE30" s="2" t="s">
        <v>45</v>
      </c>
      <c r="AF30" s="2" t="s">
        <v>47</v>
      </c>
      <c r="AG30" s="2" t="s">
        <v>47</v>
      </c>
      <c r="AH30" s="2" t="s">
        <v>46</v>
      </c>
      <c r="AI30" s="2" t="s">
        <v>46</v>
      </c>
      <c r="AJ30" s="2" t="s">
        <v>47</v>
      </c>
      <c r="AK30" s="2" t="s">
        <v>47</v>
      </c>
      <c r="AL30" s="1"/>
      <c r="AM30" s="1"/>
    </row>
    <row r="31" spans="2:39" x14ac:dyDescent="0.3">
      <c r="B31" s="5">
        <v>27</v>
      </c>
      <c r="C31" s="2">
        <v>22</v>
      </c>
      <c r="D31" s="2" t="s">
        <v>8</v>
      </c>
      <c r="E31" s="2" t="s">
        <v>5</v>
      </c>
      <c r="F31" s="2" t="s">
        <v>6</v>
      </c>
      <c r="G31" s="2" t="s">
        <v>50</v>
      </c>
      <c r="H31" s="2" t="s">
        <v>15</v>
      </c>
      <c r="I31" s="2" t="s">
        <v>27</v>
      </c>
      <c r="J31" s="2" t="s">
        <v>45</v>
      </c>
      <c r="L31" s="1" t="s">
        <v>45</v>
      </c>
      <c r="M31" s="2" t="s">
        <v>52</v>
      </c>
      <c r="O31" s="6">
        <v>44334</v>
      </c>
      <c r="P31" s="7" t="str">
        <f t="shared" ca="1" si="0"/>
        <v>5 Years</v>
      </c>
      <c r="Q31" s="2">
        <v>4</v>
      </c>
      <c r="R31" s="2">
        <v>4</v>
      </c>
      <c r="S31" s="2">
        <v>2</v>
      </c>
      <c r="T31" s="2">
        <v>5</v>
      </c>
      <c r="U31" s="2" t="s">
        <v>46</v>
      </c>
      <c r="V31" s="2">
        <v>5</v>
      </c>
      <c r="W31" s="2" t="s">
        <v>45</v>
      </c>
      <c r="X31" s="2" t="s">
        <v>47</v>
      </c>
      <c r="Y31" s="2" t="s">
        <v>45</v>
      </c>
      <c r="Z31" s="2">
        <v>15</v>
      </c>
      <c r="AA31" s="2">
        <v>5</v>
      </c>
      <c r="AB31" s="1">
        <v>19</v>
      </c>
      <c r="AC31" s="2">
        <v>2</v>
      </c>
      <c r="AD31" s="2" t="s">
        <v>47</v>
      </c>
      <c r="AE31" s="2" t="s">
        <v>45</v>
      </c>
      <c r="AF31" s="2" t="s">
        <v>47</v>
      </c>
      <c r="AG31" s="2" t="s">
        <v>47</v>
      </c>
      <c r="AH31" s="2" t="s">
        <v>46</v>
      </c>
      <c r="AI31" s="2" t="s">
        <v>46</v>
      </c>
      <c r="AJ31" s="2" t="s">
        <v>47</v>
      </c>
      <c r="AK31" s="2" t="s">
        <v>47</v>
      </c>
      <c r="AL31" s="1"/>
      <c r="AM31" s="1"/>
    </row>
    <row r="32" spans="2:39" x14ac:dyDescent="0.3">
      <c r="B32" s="5">
        <v>28</v>
      </c>
      <c r="C32" s="2">
        <v>21</v>
      </c>
      <c r="D32" s="2" t="s">
        <v>7</v>
      </c>
      <c r="E32" s="2" t="s">
        <v>5</v>
      </c>
      <c r="F32" s="2" t="s">
        <v>6</v>
      </c>
      <c r="G32" s="2" t="s">
        <v>49</v>
      </c>
      <c r="H32" s="2" t="s">
        <v>14</v>
      </c>
      <c r="I32" s="2" t="s">
        <v>28</v>
      </c>
      <c r="J32" s="2" t="s">
        <v>45</v>
      </c>
      <c r="L32" s="1" t="s">
        <v>45</v>
      </c>
      <c r="M32" s="2" t="s">
        <v>53</v>
      </c>
      <c r="N32" s="2" t="s">
        <v>39</v>
      </c>
      <c r="O32" s="6">
        <v>45244</v>
      </c>
      <c r="P32" s="7" t="str">
        <f t="shared" ca="1" si="0"/>
        <v>3 Years</v>
      </c>
      <c r="Q32" s="2">
        <v>3</v>
      </c>
      <c r="R32" s="2">
        <v>3</v>
      </c>
      <c r="S32" s="2">
        <v>2</v>
      </c>
      <c r="T32" s="2">
        <v>5</v>
      </c>
      <c r="U32" s="2" t="s">
        <v>47</v>
      </c>
      <c r="V32" s="2">
        <v>4</v>
      </c>
      <c r="W32" s="2" t="s">
        <v>47</v>
      </c>
      <c r="X32" s="2" t="s">
        <v>47</v>
      </c>
      <c r="Y32" s="2" t="s">
        <v>47</v>
      </c>
      <c r="Z32" s="2">
        <v>10</v>
      </c>
      <c r="AA32" s="2">
        <v>5</v>
      </c>
      <c r="AB32" s="1">
        <v>10</v>
      </c>
      <c r="AC32" s="2">
        <v>2</v>
      </c>
      <c r="AD32" s="2" t="s">
        <v>47</v>
      </c>
      <c r="AE32" s="2" t="s">
        <v>45</v>
      </c>
      <c r="AF32" s="2" t="s">
        <v>47</v>
      </c>
      <c r="AG32" s="2" t="s">
        <v>47</v>
      </c>
      <c r="AH32" s="2" t="s">
        <v>46</v>
      </c>
      <c r="AI32" s="2" t="s">
        <v>46</v>
      </c>
      <c r="AJ32" s="2" t="s">
        <v>47</v>
      </c>
      <c r="AK32" s="2" t="s">
        <v>45</v>
      </c>
      <c r="AL32" s="1" t="s">
        <v>15</v>
      </c>
      <c r="AM32" s="1" t="s">
        <v>32</v>
      </c>
    </row>
    <row r="33" spans="2:39" x14ac:dyDescent="0.3">
      <c r="B33" s="5">
        <v>29</v>
      </c>
      <c r="C33" s="2">
        <v>20</v>
      </c>
      <c r="D33" s="2" t="s">
        <v>9</v>
      </c>
      <c r="E33" s="2" t="s">
        <v>5</v>
      </c>
      <c r="F33" s="2" t="s">
        <v>6</v>
      </c>
      <c r="G33" s="2" t="s">
        <v>49</v>
      </c>
      <c r="H33" s="2" t="s">
        <v>16</v>
      </c>
      <c r="I33" s="2" t="s">
        <v>27</v>
      </c>
      <c r="J33" s="2" t="s">
        <v>45</v>
      </c>
      <c r="L33" s="1" t="s">
        <v>45</v>
      </c>
      <c r="M33" s="2" t="s">
        <v>52</v>
      </c>
      <c r="O33" s="6">
        <v>44378</v>
      </c>
      <c r="P33" s="7" t="str">
        <f t="shared" ca="1" si="0"/>
        <v>5 Years</v>
      </c>
      <c r="Q33" s="2">
        <v>3</v>
      </c>
      <c r="R33" s="2">
        <v>2</v>
      </c>
      <c r="S33" s="2">
        <v>1</v>
      </c>
      <c r="T33" s="2">
        <v>5</v>
      </c>
      <c r="U33" s="2" t="s">
        <v>47</v>
      </c>
      <c r="V33" s="2">
        <v>3</v>
      </c>
      <c r="W33" s="2" t="s">
        <v>47</v>
      </c>
      <c r="X33" s="2" t="s">
        <v>47</v>
      </c>
      <c r="Y33" s="2" t="s">
        <v>45</v>
      </c>
      <c r="Z33" s="2">
        <v>5</v>
      </c>
      <c r="AA33" s="2">
        <v>5</v>
      </c>
      <c r="AB33" s="1">
        <v>10</v>
      </c>
      <c r="AC33" s="2">
        <v>1</v>
      </c>
      <c r="AD33" s="2" t="s">
        <v>47</v>
      </c>
      <c r="AE33" s="2" t="s">
        <v>45</v>
      </c>
      <c r="AF33" s="2" t="s">
        <v>47</v>
      </c>
      <c r="AG33" s="2" t="s">
        <v>47</v>
      </c>
      <c r="AH33" s="2" t="s">
        <v>46</v>
      </c>
      <c r="AI33" s="2" t="s">
        <v>46</v>
      </c>
      <c r="AJ33" s="2" t="s">
        <v>46</v>
      </c>
      <c r="AK33" s="2" t="s">
        <v>47</v>
      </c>
      <c r="AL33" s="1"/>
      <c r="AM33" s="1"/>
    </row>
    <row r="34" spans="2:39" x14ac:dyDescent="0.3">
      <c r="B34" s="5">
        <v>30</v>
      </c>
      <c r="C34" s="2">
        <v>33</v>
      </c>
      <c r="D34" s="2" t="s">
        <v>7</v>
      </c>
      <c r="E34" s="2" t="s">
        <v>5</v>
      </c>
      <c r="F34" s="2" t="s">
        <v>6</v>
      </c>
      <c r="G34" s="2" t="s">
        <v>50</v>
      </c>
      <c r="H34" s="2" t="s">
        <v>14</v>
      </c>
      <c r="I34" s="2" t="s">
        <v>28</v>
      </c>
      <c r="J34" s="2" t="s">
        <v>45</v>
      </c>
      <c r="L34" s="1" t="s">
        <v>45</v>
      </c>
      <c r="M34" s="2" t="s">
        <v>52</v>
      </c>
      <c r="O34" s="6">
        <v>44008</v>
      </c>
      <c r="P34" s="7" t="str">
        <f t="shared" ca="1" si="0"/>
        <v>5 Years</v>
      </c>
      <c r="Q34" s="2">
        <v>3</v>
      </c>
      <c r="R34" s="2">
        <v>1</v>
      </c>
      <c r="S34" s="2">
        <v>1</v>
      </c>
      <c r="T34" s="2">
        <v>5</v>
      </c>
      <c r="U34" s="2" t="s">
        <v>47</v>
      </c>
      <c r="V34" s="2">
        <v>3</v>
      </c>
      <c r="W34" s="2" t="s">
        <v>47</v>
      </c>
      <c r="X34" s="2" t="s">
        <v>47</v>
      </c>
      <c r="Y34" s="2" t="s">
        <v>45</v>
      </c>
      <c r="Z34" s="2">
        <v>5</v>
      </c>
      <c r="AA34" s="2">
        <v>4</v>
      </c>
      <c r="AB34" s="2">
        <v>0</v>
      </c>
      <c r="AC34" s="2">
        <v>1</v>
      </c>
      <c r="AD34" s="2" t="s">
        <v>47</v>
      </c>
      <c r="AE34" s="2" t="s">
        <v>45</v>
      </c>
      <c r="AF34" s="2" t="s">
        <v>47</v>
      </c>
      <c r="AG34" s="2" t="s">
        <v>47</v>
      </c>
      <c r="AH34" s="2" t="s">
        <v>46</v>
      </c>
      <c r="AI34" s="2" t="s">
        <v>46</v>
      </c>
      <c r="AJ34" s="2" t="s">
        <v>47</v>
      </c>
      <c r="AK34" s="2" t="s">
        <v>47</v>
      </c>
      <c r="AL34" s="1"/>
      <c r="AM34" s="1"/>
    </row>
    <row r="35" spans="2:39" x14ac:dyDescent="0.3">
      <c r="B35" s="5">
        <v>31</v>
      </c>
      <c r="C35" s="2">
        <v>36</v>
      </c>
      <c r="D35" s="2" t="s">
        <v>7</v>
      </c>
      <c r="E35" s="2" t="s">
        <v>178</v>
      </c>
      <c r="F35" s="2" t="s">
        <v>6</v>
      </c>
      <c r="G35" s="2" t="s">
        <v>48</v>
      </c>
      <c r="H35" s="2" t="s">
        <v>17</v>
      </c>
      <c r="I35" s="2" t="s">
        <v>23</v>
      </c>
      <c r="J35" s="2" t="s">
        <v>45</v>
      </c>
      <c r="L35" s="1" t="s">
        <v>45</v>
      </c>
      <c r="M35" s="2" t="s">
        <v>52</v>
      </c>
      <c r="O35" s="6">
        <v>44577</v>
      </c>
      <c r="P35" s="7" t="str">
        <f t="shared" ca="1" si="0"/>
        <v>3 Years</v>
      </c>
      <c r="Q35" s="2">
        <v>25</v>
      </c>
      <c r="R35" s="2">
        <v>12</v>
      </c>
      <c r="S35" s="2">
        <v>6</v>
      </c>
      <c r="T35" s="2">
        <v>13</v>
      </c>
      <c r="U35" s="2" t="s">
        <v>45</v>
      </c>
      <c r="V35" s="2">
        <v>30</v>
      </c>
      <c r="W35" s="2" t="s">
        <v>45</v>
      </c>
      <c r="X35" s="2" t="s">
        <v>45</v>
      </c>
      <c r="Y35" s="2" t="s">
        <v>45</v>
      </c>
      <c r="Z35" s="2">
        <v>60</v>
      </c>
      <c r="AA35" s="2">
        <v>10</v>
      </c>
      <c r="AB35" s="1">
        <v>0</v>
      </c>
      <c r="AC35" s="2">
        <v>15</v>
      </c>
      <c r="AD35" s="2" t="s">
        <v>45</v>
      </c>
      <c r="AE35" s="2" t="s">
        <v>47</v>
      </c>
      <c r="AF35" s="2" t="s">
        <v>45</v>
      </c>
      <c r="AG35" s="2" t="s">
        <v>45</v>
      </c>
      <c r="AH35" s="2" t="s">
        <v>45</v>
      </c>
      <c r="AI35" s="2" t="s">
        <v>46</v>
      </c>
      <c r="AJ35" s="2" t="s">
        <v>45</v>
      </c>
      <c r="AK35" s="2" t="s">
        <v>47</v>
      </c>
      <c r="AL35" s="1"/>
      <c r="AM35" s="1"/>
    </row>
    <row r="36" spans="2:39" x14ac:dyDescent="0.3">
      <c r="B36" s="5">
        <v>32</v>
      </c>
      <c r="C36" s="2">
        <v>29</v>
      </c>
      <c r="D36" s="2" t="s">
        <v>8</v>
      </c>
      <c r="E36" s="2" t="s">
        <v>3</v>
      </c>
      <c r="F36" s="2" t="s">
        <v>6</v>
      </c>
      <c r="G36" s="2" t="s">
        <v>50</v>
      </c>
      <c r="H36" s="2" t="s">
        <v>17</v>
      </c>
      <c r="I36" s="2" t="s">
        <v>29</v>
      </c>
      <c r="J36" s="2" t="s">
        <v>45</v>
      </c>
      <c r="L36" s="1" t="s">
        <v>45</v>
      </c>
      <c r="M36" s="2" t="s">
        <v>52</v>
      </c>
      <c r="O36" s="6">
        <v>44097</v>
      </c>
      <c r="P36" s="7" t="str">
        <f t="shared" ca="1" si="0"/>
        <v>5 Years</v>
      </c>
      <c r="Q36" s="2">
        <v>25</v>
      </c>
      <c r="R36" s="2">
        <v>10</v>
      </c>
      <c r="S36" s="2">
        <v>6</v>
      </c>
      <c r="T36" s="2">
        <v>13</v>
      </c>
      <c r="U36" s="2" t="s">
        <v>45</v>
      </c>
      <c r="V36" s="2">
        <v>30</v>
      </c>
      <c r="W36" s="2" t="s">
        <v>45</v>
      </c>
      <c r="X36" s="2" t="s">
        <v>45</v>
      </c>
      <c r="Y36" s="2" t="s">
        <v>45</v>
      </c>
      <c r="Z36" s="2">
        <v>60</v>
      </c>
      <c r="AA36" s="2">
        <v>9</v>
      </c>
      <c r="AB36" s="1">
        <v>7</v>
      </c>
      <c r="AC36" s="2">
        <v>15</v>
      </c>
      <c r="AD36" s="2" t="s">
        <v>45</v>
      </c>
      <c r="AE36" s="2" t="s">
        <v>47</v>
      </c>
      <c r="AF36" s="2" t="s">
        <v>45</v>
      </c>
      <c r="AG36" s="2" t="s">
        <v>46</v>
      </c>
      <c r="AH36" s="2" t="s">
        <v>46</v>
      </c>
      <c r="AI36" s="2" t="s">
        <v>47</v>
      </c>
      <c r="AJ36" s="2" t="s">
        <v>45</v>
      </c>
      <c r="AK36" s="2" t="s">
        <v>47</v>
      </c>
      <c r="AL36" s="1"/>
      <c r="AM36" s="1"/>
    </row>
    <row r="37" spans="2:39" x14ac:dyDescent="0.3">
      <c r="B37" s="5">
        <v>33</v>
      </c>
      <c r="C37" s="2">
        <v>27</v>
      </c>
      <c r="D37" s="2" t="s">
        <v>9</v>
      </c>
      <c r="E37" s="2" t="s">
        <v>4</v>
      </c>
      <c r="F37" s="2" t="s">
        <v>6</v>
      </c>
      <c r="G37" s="2" t="s">
        <v>48</v>
      </c>
      <c r="H37" s="2" t="s">
        <v>14</v>
      </c>
      <c r="I37" s="2" t="s">
        <v>181</v>
      </c>
      <c r="J37" s="2" t="s">
        <v>45</v>
      </c>
      <c r="L37" s="1" t="s">
        <v>45</v>
      </c>
      <c r="M37" s="2" t="s">
        <v>52</v>
      </c>
      <c r="O37" s="6">
        <v>44326</v>
      </c>
      <c r="P37" s="7" t="str">
        <f t="shared" ca="1" si="0"/>
        <v>5 Years</v>
      </c>
      <c r="Q37" s="2">
        <v>23</v>
      </c>
      <c r="R37" s="2">
        <v>10</v>
      </c>
      <c r="S37" s="2">
        <v>6</v>
      </c>
      <c r="T37" s="2">
        <v>13</v>
      </c>
      <c r="U37" s="2" t="s">
        <v>45</v>
      </c>
      <c r="V37" s="2">
        <v>29</v>
      </c>
      <c r="W37" s="2" t="s">
        <v>45</v>
      </c>
      <c r="X37" s="2" t="s">
        <v>45</v>
      </c>
      <c r="Y37" s="2" t="s">
        <v>45</v>
      </c>
      <c r="Z37" s="2">
        <v>50</v>
      </c>
      <c r="AA37" s="2">
        <v>9</v>
      </c>
      <c r="AB37" s="1">
        <v>10</v>
      </c>
      <c r="AC37" s="2">
        <v>14</v>
      </c>
      <c r="AD37" s="2" t="s">
        <v>45</v>
      </c>
      <c r="AE37" s="2" t="s">
        <v>45</v>
      </c>
      <c r="AF37" s="2" t="s">
        <v>45</v>
      </c>
      <c r="AG37" s="2" t="s">
        <v>45</v>
      </c>
      <c r="AH37" s="2" t="s">
        <v>46</v>
      </c>
      <c r="AI37" s="2" t="s">
        <v>47</v>
      </c>
      <c r="AJ37" s="2" t="s">
        <v>45</v>
      </c>
      <c r="AK37" s="2" t="s">
        <v>47</v>
      </c>
      <c r="AL37" s="1"/>
      <c r="AM37" s="1"/>
    </row>
    <row r="38" spans="2:39" x14ac:dyDescent="0.3">
      <c r="B38" s="5">
        <v>34</v>
      </c>
      <c r="C38" s="2">
        <v>26</v>
      </c>
      <c r="D38" s="2" t="s">
        <v>10</v>
      </c>
      <c r="E38" s="2" t="s">
        <v>12</v>
      </c>
      <c r="F38" s="2" t="s">
        <v>6</v>
      </c>
      <c r="G38" s="2" t="s">
        <v>48</v>
      </c>
      <c r="H38" s="2" t="s">
        <v>15</v>
      </c>
      <c r="I38" s="2" t="s">
        <v>25</v>
      </c>
      <c r="J38" s="2" t="s">
        <v>45</v>
      </c>
      <c r="L38" s="1" t="s">
        <v>45</v>
      </c>
      <c r="M38" s="2" t="s">
        <v>52</v>
      </c>
      <c r="O38" s="6">
        <v>43887</v>
      </c>
      <c r="P38" s="7" t="str">
        <f t="shared" ca="1" si="0"/>
        <v>5 Years</v>
      </c>
      <c r="Q38" s="2">
        <v>22</v>
      </c>
      <c r="R38" s="2">
        <v>10</v>
      </c>
      <c r="S38" s="2">
        <v>5</v>
      </c>
      <c r="T38" s="2">
        <v>13</v>
      </c>
      <c r="U38" s="2" t="s">
        <v>45</v>
      </c>
      <c r="V38" s="2">
        <v>28</v>
      </c>
      <c r="W38" s="2" t="s">
        <v>45</v>
      </c>
      <c r="X38" s="2" t="s">
        <v>45</v>
      </c>
      <c r="Y38" s="2" t="s">
        <v>45</v>
      </c>
      <c r="Z38" s="2">
        <v>50</v>
      </c>
      <c r="AA38" s="2">
        <v>9</v>
      </c>
      <c r="AB38" s="1">
        <v>0</v>
      </c>
      <c r="AC38" s="2">
        <v>14</v>
      </c>
      <c r="AD38" s="2" t="s">
        <v>45</v>
      </c>
      <c r="AE38" s="2" t="s">
        <v>45</v>
      </c>
      <c r="AF38" s="2" t="s">
        <v>45</v>
      </c>
      <c r="AG38" s="2" t="s">
        <v>45</v>
      </c>
      <c r="AH38" s="2" t="s">
        <v>46</v>
      </c>
      <c r="AI38" s="2" t="s">
        <v>47</v>
      </c>
      <c r="AJ38" s="2" t="s">
        <v>45</v>
      </c>
      <c r="AK38" s="2" t="s">
        <v>47</v>
      </c>
      <c r="AL38" s="1"/>
      <c r="AM38" s="1"/>
    </row>
    <row r="39" spans="2:39" x14ac:dyDescent="0.3">
      <c r="B39" s="5">
        <v>35</v>
      </c>
      <c r="C39" s="2">
        <v>60</v>
      </c>
      <c r="D39" s="2" t="s">
        <v>8</v>
      </c>
      <c r="E39" s="2" t="s">
        <v>5</v>
      </c>
      <c r="F39" s="2" t="s">
        <v>73</v>
      </c>
      <c r="G39" s="2" t="s">
        <v>49</v>
      </c>
      <c r="H39" s="2" t="s">
        <v>14</v>
      </c>
      <c r="I39" s="2" t="s">
        <v>181</v>
      </c>
      <c r="J39" s="2" t="s">
        <v>45</v>
      </c>
      <c r="L39" s="1" t="s">
        <v>45</v>
      </c>
      <c r="M39" s="2" t="s">
        <v>52</v>
      </c>
      <c r="O39" s="6">
        <v>44700</v>
      </c>
      <c r="P39" s="7" t="str">
        <f t="shared" ca="1" si="0"/>
        <v>3 Years</v>
      </c>
      <c r="Q39" s="2">
        <v>16</v>
      </c>
      <c r="R39" s="2">
        <v>7</v>
      </c>
      <c r="S39" s="2">
        <v>5</v>
      </c>
      <c r="T39" s="2">
        <v>11</v>
      </c>
      <c r="U39" s="2" t="s">
        <v>45</v>
      </c>
      <c r="V39" s="2">
        <v>23</v>
      </c>
      <c r="W39" s="2" t="s">
        <v>45</v>
      </c>
      <c r="X39" s="2" t="s">
        <v>47</v>
      </c>
      <c r="Y39" s="2" t="s">
        <v>45</v>
      </c>
      <c r="Z39" s="2">
        <v>30</v>
      </c>
      <c r="AA39" s="2">
        <v>8</v>
      </c>
      <c r="AB39" s="1">
        <v>9</v>
      </c>
      <c r="AC39" s="2">
        <v>8</v>
      </c>
      <c r="AD39" s="2" t="s">
        <v>45</v>
      </c>
      <c r="AE39" s="2" t="s">
        <v>47</v>
      </c>
      <c r="AF39" s="2" t="s">
        <v>45</v>
      </c>
      <c r="AG39" s="2" t="s">
        <v>45</v>
      </c>
      <c r="AH39" s="2" t="s">
        <v>46</v>
      </c>
      <c r="AI39" s="2" t="s">
        <v>47</v>
      </c>
      <c r="AJ39" s="2" t="s">
        <v>45</v>
      </c>
      <c r="AK39" s="2" t="s">
        <v>47</v>
      </c>
      <c r="AL39" s="1"/>
      <c r="AM39" s="1"/>
    </row>
    <row r="40" spans="2:39" x14ac:dyDescent="0.3">
      <c r="B40" s="5">
        <v>36</v>
      </c>
      <c r="C40" s="2">
        <v>60</v>
      </c>
      <c r="D40" s="2" t="s">
        <v>9</v>
      </c>
      <c r="E40" s="2" t="s">
        <v>5</v>
      </c>
      <c r="F40" s="2" t="s">
        <v>73</v>
      </c>
      <c r="G40" s="2" t="s">
        <v>49</v>
      </c>
      <c r="H40" s="2" t="s">
        <v>15</v>
      </c>
      <c r="I40" s="2" t="s">
        <v>25</v>
      </c>
      <c r="J40" s="2" t="s">
        <v>45</v>
      </c>
      <c r="L40" s="1" t="s">
        <v>45</v>
      </c>
      <c r="M40" s="2" t="s">
        <v>52</v>
      </c>
      <c r="O40" s="6">
        <v>43971</v>
      </c>
      <c r="P40" s="7" t="str">
        <f t="shared" ca="1" si="0"/>
        <v>5 Years</v>
      </c>
      <c r="Q40" s="2">
        <v>15</v>
      </c>
      <c r="R40" s="2">
        <v>7</v>
      </c>
      <c r="S40" s="2">
        <v>5</v>
      </c>
      <c r="T40" s="2">
        <v>10</v>
      </c>
      <c r="U40" s="2" t="s">
        <v>45</v>
      </c>
      <c r="V40" s="2">
        <v>23</v>
      </c>
      <c r="W40" s="2" t="s">
        <v>45</v>
      </c>
      <c r="X40" s="2" t="s">
        <v>47</v>
      </c>
      <c r="Y40" s="2" t="s">
        <v>45</v>
      </c>
      <c r="Z40" s="2">
        <v>30</v>
      </c>
      <c r="AA40" s="2">
        <v>7</v>
      </c>
      <c r="AB40" s="1">
        <v>0</v>
      </c>
      <c r="AC40" s="2">
        <v>8</v>
      </c>
      <c r="AD40" s="2" t="s">
        <v>45</v>
      </c>
      <c r="AE40" s="2" t="s">
        <v>45</v>
      </c>
      <c r="AF40" s="2" t="s">
        <v>45</v>
      </c>
      <c r="AG40" s="2" t="s">
        <v>45</v>
      </c>
      <c r="AH40" s="2" t="s">
        <v>46</v>
      </c>
      <c r="AI40" s="2" t="s">
        <v>47</v>
      </c>
      <c r="AJ40" s="2" t="s">
        <v>45</v>
      </c>
      <c r="AK40" s="2" t="s">
        <v>47</v>
      </c>
      <c r="AL40" s="1"/>
      <c r="AM40" s="1"/>
    </row>
    <row r="41" spans="2:39" x14ac:dyDescent="0.3">
      <c r="B41" s="5">
        <v>37</v>
      </c>
      <c r="C41" s="2">
        <v>33</v>
      </c>
      <c r="D41" s="2" t="s">
        <v>8</v>
      </c>
      <c r="E41" s="2" t="s">
        <v>5</v>
      </c>
      <c r="F41" s="2" t="s">
        <v>6</v>
      </c>
      <c r="G41" s="2" t="s">
        <v>49</v>
      </c>
      <c r="H41" s="2" t="s">
        <v>15</v>
      </c>
      <c r="I41" s="2" t="s">
        <v>27</v>
      </c>
      <c r="J41" s="2" t="s">
        <v>45</v>
      </c>
      <c r="L41" s="1" t="s">
        <v>45</v>
      </c>
      <c r="M41" s="2" t="s">
        <v>52</v>
      </c>
      <c r="O41" s="6">
        <v>45340</v>
      </c>
      <c r="P41" s="7" t="str">
        <f t="shared" ca="1" si="0"/>
        <v>1 Year</v>
      </c>
      <c r="Q41" s="2">
        <v>13</v>
      </c>
      <c r="R41" s="2">
        <v>7</v>
      </c>
      <c r="S41" s="2">
        <v>4</v>
      </c>
      <c r="T41" s="2">
        <v>10</v>
      </c>
      <c r="U41" s="2" t="s">
        <v>45</v>
      </c>
      <c r="V41" s="2">
        <v>22</v>
      </c>
      <c r="W41" s="2" t="s">
        <v>45</v>
      </c>
      <c r="X41" s="2" t="s">
        <v>47</v>
      </c>
      <c r="Y41" s="2" t="s">
        <v>45</v>
      </c>
      <c r="Z41" s="2">
        <v>30</v>
      </c>
      <c r="AA41" s="2">
        <v>7</v>
      </c>
      <c r="AB41" s="1">
        <v>5</v>
      </c>
      <c r="AC41" s="2">
        <v>7</v>
      </c>
      <c r="AD41" s="2" t="s">
        <v>45</v>
      </c>
      <c r="AE41" s="2" t="s">
        <v>45</v>
      </c>
      <c r="AF41" s="2" t="s">
        <v>47</v>
      </c>
      <c r="AG41" s="2" t="s">
        <v>47</v>
      </c>
      <c r="AH41" s="2" t="s">
        <v>46</v>
      </c>
      <c r="AI41" s="2" t="s">
        <v>45</v>
      </c>
      <c r="AJ41" s="2" t="s">
        <v>45</v>
      </c>
      <c r="AK41" s="2" t="s">
        <v>47</v>
      </c>
      <c r="AL41" s="1"/>
      <c r="AM41" s="1"/>
    </row>
    <row r="42" spans="2:39" x14ac:dyDescent="0.3">
      <c r="B42" s="5">
        <v>38</v>
      </c>
      <c r="C42" s="2">
        <v>32</v>
      </c>
      <c r="D42" s="2" t="s">
        <v>8</v>
      </c>
      <c r="E42" s="2" t="s">
        <v>5</v>
      </c>
      <c r="F42" s="2" t="s">
        <v>6</v>
      </c>
      <c r="G42" s="2" t="s">
        <v>49</v>
      </c>
      <c r="H42" s="2" t="s">
        <v>14</v>
      </c>
      <c r="I42" s="2" t="s">
        <v>28</v>
      </c>
      <c r="J42" s="2" t="s">
        <v>45</v>
      </c>
      <c r="L42" s="1" t="s">
        <v>45</v>
      </c>
      <c r="M42" s="2" t="s">
        <v>52</v>
      </c>
      <c r="O42" s="6">
        <v>44201</v>
      </c>
      <c r="P42" s="7" t="str">
        <f t="shared" ca="1" si="0"/>
        <v>5 Years</v>
      </c>
      <c r="Q42" s="2">
        <v>12</v>
      </c>
      <c r="R42" s="2">
        <v>7</v>
      </c>
      <c r="S42" s="2">
        <v>4</v>
      </c>
      <c r="T42" s="2">
        <v>9</v>
      </c>
      <c r="U42" s="2" t="s">
        <v>45</v>
      </c>
      <c r="V42" s="2">
        <v>22</v>
      </c>
      <c r="W42" s="2" t="s">
        <v>45</v>
      </c>
      <c r="X42" s="2" t="s">
        <v>47</v>
      </c>
      <c r="Y42" s="2" t="s">
        <v>45</v>
      </c>
      <c r="Z42" s="2">
        <v>30</v>
      </c>
      <c r="AA42" s="2">
        <v>7</v>
      </c>
      <c r="AB42" s="1">
        <v>0</v>
      </c>
      <c r="AC42" s="2">
        <v>7</v>
      </c>
      <c r="AD42" s="2" t="s">
        <v>45</v>
      </c>
      <c r="AE42" s="2" t="s">
        <v>45</v>
      </c>
      <c r="AF42" s="2" t="s">
        <v>47</v>
      </c>
      <c r="AG42" s="2" t="s">
        <v>47</v>
      </c>
      <c r="AH42" s="2" t="s">
        <v>46</v>
      </c>
      <c r="AI42" s="2" t="s">
        <v>45</v>
      </c>
      <c r="AJ42" s="2" t="s">
        <v>45</v>
      </c>
      <c r="AK42" s="2" t="s">
        <v>47</v>
      </c>
      <c r="AL42" s="1"/>
      <c r="AM42" s="1"/>
    </row>
    <row r="43" spans="2:39" x14ac:dyDescent="0.3">
      <c r="B43" s="5">
        <v>39</v>
      </c>
      <c r="C43" s="2">
        <v>27</v>
      </c>
      <c r="D43" s="2" t="s">
        <v>8</v>
      </c>
      <c r="E43" s="2" t="s">
        <v>4</v>
      </c>
      <c r="F43" s="2" t="s">
        <v>6</v>
      </c>
      <c r="G43" s="2" t="s">
        <v>48</v>
      </c>
      <c r="H43" s="2" t="s">
        <v>17</v>
      </c>
      <c r="I43" s="2" t="s">
        <v>29</v>
      </c>
      <c r="J43" s="2" t="s">
        <v>45</v>
      </c>
      <c r="L43" s="1" t="s">
        <v>45</v>
      </c>
      <c r="M43" s="2" t="s">
        <v>52</v>
      </c>
      <c r="O43" s="6">
        <v>45565</v>
      </c>
      <c r="P43" s="7" t="str">
        <f t="shared" ca="1" si="0"/>
        <v>6 Months</v>
      </c>
      <c r="Q43" s="2">
        <v>10</v>
      </c>
      <c r="R43" s="2">
        <v>0</v>
      </c>
      <c r="S43" s="2">
        <v>4</v>
      </c>
      <c r="T43" s="2">
        <v>9</v>
      </c>
      <c r="U43" s="2" t="s">
        <v>45</v>
      </c>
      <c r="V43" s="2">
        <v>17</v>
      </c>
      <c r="W43" s="2" t="s">
        <v>45</v>
      </c>
      <c r="X43" s="2" t="s">
        <v>47</v>
      </c>
      <c r="Y43" s="2" t="s">
        <v>45</v>
      </c>
      <c r="Z43" s="2">
        <v>30</v>
      </c>
      <c r="AA43" s="2">
        <v>7</v>
      </c>
      <c r="AB43" s="1">
        <v>6</v>
      </c>
      <c r="AC43" s="2">
        <v>7</v>
      </c>
      <c r="AD43" s="2" t="s">
        <v>45</v>
      </c>
      <c r="AE43" s="2" t="s">
        <v>45</v>
      </c>
      <c r="AF43" s="2" t="s">
        <v>47</v>
      </c>
      <c r="AG43" s="2" t="s">
        <v>47</v>
      </c>
      <c r="AH43" s="2" t="s">
        <v>46</v>
      </c>
      <c r="AI43" s="2" t="s">
        <v>47</v>
      </c>
      <c r="AJ43" s="2" t="s">
        <v>46</v>
      </c>
      <c r="AK43" s="2" t="s">
        <v>47</v>
      </c>
      <c r="AL43" s="1"/>
      <c r="AM43" s="1"/>
    </row>
    <row r="44" spans="2:39" x14ac:dyDescent="0.3">
      <c r="B44" s="5">
        <v>40</v>
      </c>
      <c r="C44" s="2">
        <v>26</v>
      </c>
      <c r="D44" s="2" t="s">
        <v>7</v>
      </c>
      <c r="E44" s="2" t="s">
        <v>4</v>
      </c>
      <c r="F44" s="2" t="s">
        <v>6</v>
      </c>
      <c r="G44" s="2" t="s">
        <v>48</v>
      </c>
      <c r="H44" s="2" t="s">
        <v>14</v>
      </c>
      <c r="I44" s="2" t="s">
        <v>181</v>
      </c>
      <c r="J44" s="2" t="s">
        <v>45</v>
      </c>
      <c r="L44" s="1" t="s">
        <v>45</v>
      </c>
      <c r="M44" s="2" t="s">
        <v>52</v>
      </c>
      <c r="O44" s="6">
        <v>45427</v>
      </c>
      <c r="P44" s="7" t="str">
        <f t="shared" ca="1" si="0"/>
        <v>1 Year</v>
      </c>
      <c r="Q44" s="2">
        <v>10</v>
      </c>
      <c r="R44" s="2">
        <v>6</v>
      </c>
      <c r="S44" s="2">
        <v>4</v>
      </c>
      <c r="T44" s="2">
        <v>9</v>
      </c>
      <c r="U44" s="2" t="s">
        <v>45</v>
      </c>
      <c r="V44" s="2">
        <v>16</v>
      </c>
      <c r="W44" s="2" t="s">
        <v>45</v>
      </c>
      <c r="X44" s="2" t="s">
        <v>47</v>
      </c>
      <c r="Y44" s="2" t="s">
        <v>45</v>
      </c>
      <c r="Z44" s="2">
        <v>30</v>
      </c>
      <c r="AA44" s="2">
        <v>6</v>
      </c>
      <c r="AB44" s="1">
        <v>4</v>
      </c>
      <c r="AC44" s="2">
        <v>7</v>
      </c>
      <c r="AD44" s="2" t="s">
        <v>45</v>
      </c>
      <c r="AE44" s="2" t="s">
        <v>45</v>
      </c>
      <c r="AF44" s="2" t="s">
        <v>47</v>
      </c>
      <c r="AG44" s="2" t="s">
        <v>47</v>
      </c>
      <c r="AH44" s="2" t="s">
        <v>46</v>
      </c>
      <c r="AI44" s="2" t="s">
        <v>47</v>
      </c>
      <c r="AJ44" s="2" t="s">
        <v>45</v>
      </c>
      <c r="AK44" s="2" t="s">
        <v>47</v>
      </c>
      <c r="AL44" s="1"/>
      <c r="AM44" s="1"/>
    </row>
    <row r="45" spans="2:39" x14ac:dyDescent="0.3">
      <c r="B45" s="5">
        <v>41</v>
      </c>
      <c r="C45" s="2">
        <v>26</v>
      </c>
      <c r="D45" s="2" t="s">
        <v>8</v>
      </c>
      <c r="E45" s="2" t="s">
        <v>4</v>
      </c>
      <c r="F45" s="2" t="s">
        <v>6</v>
      </c>
      <c r="G45" s="2" t="s">
        <v>48</v>
      </c>
      <c r="H45" s="2" t="s">
        <v>15</v>
      </c>
      <c r="I45" s="2" t="s">
        <v>25</v>
      </c>
      <c r="J45" s="2" t="s">
        <v>45</v>
      </c>
      <c r="L45" s="1" t="s">
        <v>45</v>
      </c>
      <c r="M45" s="2" t="s">
        <v>52</v>
      </c>
      <c r="O45" s="6">
        <v>45428</v>
      </c>
      <c r="P45" s="7" t="str">
        <f t="shared" ca="1" si="0"/>
        <v>1 Year</v>
      </c>
      <c r="Q45" s="2">
        <v>10</v>
      </c>
      <c r="R45" s="2">
        <v>6</v>
      </c>
      <c r="S45" s="2">
        <v>4</v>
      </c>
      <c r="T45" s="2">
        <v>9</v>
      </c>
      <c r="U45" s="2" t="s">
        <v>46</v>
      </c>
      <c r="V45" s="2">
        <v>16</v>
      </c>
      <c r="W45" s="2" t="s">
        <v>45</v>
      </c>
      <c r="X45" s="2" t="s">
        <v>47</v>
      </c>
      <c r="Y45" s="2" t="s">
        <v>45</v>
      </c>
      <c r="Z45" s="2">
        <v>30</v>
      </c>
      <c r="AA45" s="2">
        <v>6</v>
      </c>
      <c r="AB45" s="1">
        <v>7</v>
      </c>
      <c r="AC45" s="2">
        <v>7</v>
      </c>
      <c r="AD45" s="2" t="s">
        <v>45</v>
      </c>
      <c r="AE45" s="2" t="s">
        <v>45</v>
      </c>
      <c r="AF45" s="2" t="s">
        <v>47</v>
      </c>
      <c r="AG45" s="2" t="s">
        <v>47</v>
      </c>
      <c r="AH45" s="2" t="s">
        <v>46</v>
      </c>
      <c r="AI45" s="2" t="s">
        <v>47</v>
      </c>
      <c r="AJ45" s="2" t="s">
        <v>46</v>
      </c>
      <c r="AK45" s="2" t="s">
        <v>47</v>
      </c>
      <c r="AL45" s="1"/>
      <c r="AM45" s="1"/>
    </row>
    <row r="46" spans="2:39" x14ac:dyDescent="0.3">
      <c r="B46" s="5">
        <v>42</v>
      </c>
      <c r="C46" s="2">
        <v>55</v>
      </c>
      <c r="D46" s="2" t="s">
        <v>7</v>
      </c>
      <c r="E46" s="2" t="s">
        <v>4</v>
      </c>
      <c r="F46" s="2" t="s">
        <v>6</v>
      </c>
      <c r="G46" s="2" t="s">
        <v>48</v>
      </c>
      <c r="H46" s="2" t="s">
        <v>14</v>
      </c>
      <c r="I46" s="2" t="s">
        <v>26</v>
      </c>
      <c r="J46" s="2" t="s">
        <v>45</v>
      </c>
      <c r="L46" s="1" t="s">
        <v>45</v>
      </c>
      <c r="M46" s="2" t="s">
        <v>52</v>
      </c>
      <c r="O46" s="6">
        <v>45245</v>
      </c>
      <c r="P46" s="7" t="str">
        <f t="shared" ca="1" si="0"/>
        <v>3 Years</v>
      </c>
      <c r="Q46" s="2">
        <v>10</v>
      </c>
      <c r="R46" s="2">
        <v>6</v>
      </c>
      <c r="S46" s="2">
        <v>3</v>
      </c>
      <c r="T46" s="2">
        <v>9</v>
      </c>
      <c r="U46" s="2" t="s">
        <v>47</v>
      </c>
      <c r="V46" s="2">
        <v>16</v>
      </c>
      <c r="W46" s="2" t="s">
        <v>45</v>
      </c>
      <c r="X46" s="2" t="s">
        <v>47</v>
      </c>
      <c r="Y46" s="2" t="s">
        <v>45</v>
      </c>
      <c r="Z46" s="2">
        <v>25</v>
      </c>
      <c r="AA46" s="2">
        <v>6</v>
      </c>
      <c r="AB46" s="1">
        <v>0</v>
      </c>
      <c r="AC46" s="2">
        <v>7</v>
      </c>
      <c r="AD46" s="2" t="s">
        <v>45</v>
      </c>
      <c r="AE46" s="2" t="s">
        <v>45</v>
      </c>
      <c r="AF46" s="2" t="s">
        <v>47</v>
      </c>
      <c r="AG46" s="2" t="s">
        <v>47</v>
      </c>
      <c r="AH46" s="2" t="s">
        <v>46</v>
      </c>
      <c r="AI46" s="2" t="s">
        <v>47</v>
      </c>
      <c r="AJ46" s="2" t="s">
        <v>46</v>
      </c>
      <c r="AK46" s="2" t="s">
        <v>47</v>
      </c>
      <c r="AL46" s="1"/>
      <c r="AM46" s="1"/>
    </row>
    <row r="47" spans="2:39" x14ac:dyDescent="0.3">
      <c r="B47" s="5">
        <v>43</v>
      </c>
      <c r="C47" s="2">
        <v>47</v>
      </c>
      <c r="D47" s="2" t="s">
        <v>8</v>
      </c>
      <c r="E47" s="2" t="s">
        <v>4</v>
      </c>
      <c r="F47" s="2" t="s">
        <v>6</v>
      </c>
      <c r="G47" s="2" t="s">
        <v>50</v>
      </c>
      <c r="H47" s="2" t="s">
        <v>15</v>
      </c>
      <c r="I47" s="2" t="s">
        <v>27</v>
      </c>
      <c r="J47" s="2" t="s">
        <v>45</v>
      </c>
      <c r="L47" s="1" t="s">
        <v>45</v>
      </c>
      <c r="M47" s="2" t="s">
        <v>52</v>
      </c>
      <c r="O47" s="6">
        <v>44421</v>
      </c>
      <c r="P47" s="7" t="str">
        <f t="shared" ca="1" si="0"/>
        <v>5 Years</v>
      </c>
      <c r="Q47" s="2">
        <v>10</v>
      </c>
      <c r="R47" s="2">
        <v>6</v>
      </c>
      <c r="S47" s="2">
        <v>3</v>
      </c>
      <c r="T47" s="2">
        <v>6</v>
      </c>
      <c r="U47" s="2" t="s">
        <v>45</v>
      </c>
      <c r="V47" s="2">
        <v>15</v>
      </c>
      <c r="W47" s="2" t="s">
        <v>45</v>
      </c>
      <c r="X47" s="2" t="s">
        <v>47</v>
      </c>
      <c r="Y47" s="2" t="s">
        <v>45</v>
      </c>
      <c r="Z47" s="2">
        <v>20</v>
      </c>
      <c r="AA47" s="2">
        <v>6</v>
      </c>
      <c r="AB47" s="1">
        <v>0</v>
      </c>
      <c r="AC47" s="2">
        <v>7</v>
      </c>
      <c r="AD47" s="2" t="s">
        <v>45</v>
      </c>
      <c r="AE47" s="2" t="s">
        <v>45</v>
      </c>
      <c r="AF47" s="2" t="s">
        <v>47</v>
      </c>
      <c r="AG47" s="2" t="s">
        <v>47</v>
      </c>
      <c r="AH47" s="2" t="s">
        <v>45</v>
      </c>
      <c r="AI47" s="2" t="s">
        <v>47</v>
      </c>
      <c r="AJ47" s="2" t="s">
        <v>46</v>
      </c>
      <c r="AK47" s="2" t="s">
        <v>47</v>
      </c>
      <c r="AL47" s="1"/>
      <c r="AM47" s="1"/>
    </row>
    <row r="48" spans="2:39" x14ac:dyDescent="0.3">
      <c r="B48" s="5">
        <v>44</v>
      </c>
      <c r="C48" s="2">
        <v>39</v>
      </c>
      <c r="D48" s="2" t="s">
        <v>7</v>
      </c>
      <c r="E48" s="2" t="s">
        <v>5</v>
      </c>
      <c r="F48" s="2" t="s">
        <v>73</v>
      </c>
      <c r="G48" s="2" t="s">
        <v>49</v>
      </c>
      <c r="H48" s="2" t="s">
        <v>17</v>
      </c>
      <c r="I48" s="2" t="s">
        <v>29</v>
      </c>
      <c r="J48" s="2" t="s">
        <v>45</v>
      </c>
      <c r="L48" s="1" t="s">
        <v>45</v>
      </c>
      <c r="M48" s="2" t="s">
        <v>52</v>
      </c>
      <c r="O48" s="6">
        <v>44779</v>
      </c>
      <c r="P48" s="7" t="str">
        <f t="shared" ca="1" si="0"/>
        <v>3 Years</v>
      </c>
      <c r="Q48" s="2">
        <v>8</v>
      </c>
      <c r="R48" s="2">
        <v>5</v>
      </c>
      <c r="S48" s="2">
        <v>3</v>
      </c>
      <c r="T48" s="2">
        <v>6</v>
      </c>
      <c r="U48" s="2" t="s">
        <v>46</v>
      </c>
      <c r="V48" s="2">
        <v>10</v>
      </c>
      <c r="W48" s="2" t="s">
        <v>45</v>
      </c>
      <c r="X48" s="2" t="s">
        <v>47</v>
      </c>
      <c r="Y48" s="2" t="s">
        <v>45</v>
      </c>
      <c r="Z48" s="2">
        <v>20</v>
      </c>
      <c r="AA48" s="2">
        <v>5</v>
      </c>
      <c r="AB48" s="1">
        <v>5</v>
      </c>
      <c r="AC48" s="2">
        <v>6</v>
      </c>
      <c r="AD48" s="2" t="s">
        <v>45</v>
      </c>
      <c r="AE48" s="2" t="s">
        <v>45</v>
      </c>
      <c r="AF48" s="2" t="s">
        <v>47</v>
      </c>
      <c r="AG48" s="2" t="s">
        <v>47</v>
      </c>
      <c r="AH48" s="2" t="s">
        <v>46</v>
      </c>
      <c r="AI48" s="2" t="s">
        <v>47</v>
      </c>
      <c r="AJ48" s="2" t="s">
        <v>46</v>
      </c>
      <c r="AK48" s="2" t="s">
        <v>47</v>
      </c>
      <c r="AL48" s="1"/>
      <c r="AM48" s="1"/>
    </row>
    <row r="49" spans="2:39" x14ac:dyDescent="0.3">
      <c r="B49" s="5">
        <v>45</v>
      </c>
      <c r="C49" s="2">
        <v>66</v>
      </c>
      <c r="D49" s="2" t="s">
        <v>7</v>
      </c>
      <c r="E49" s="2" t="s">
        <v>5</v>
      </c>
      <c r="F49" s="2" t="s">
        <v>6</v>
      </c>
      <c r="G49" s="2" t="s">
        <v>48</v>
      </c>
      <c r="H49" s="2" t="s">
        <v>14</v>
      </c>
      <c r="I49" s="2" t="s">
        <v>181</v>
      </c>
      <c r="J49" s="2" t="s">
        <v>45</v>
      </c>
      <c r="L49" s="1" t="s">
        <v>45</v>
      </c>
      <c r="M49" s="2" t="s">
        <v>52</v>
      </c>
      <c r="O49" s="6">
        <v>45561</v>
      </c>
      <c r="P49" s="7" t="str">
        <f t="shared" ca="1" si="0"/>
        <v>6 Months</v>
      </c>
      <c r="Q49" s="2">
        <v>6</v>
      </c>
      <c r="R49" s="2">
        <v>4</v>
      </c>
      <c r="S49" s="2">
        <v>3</v>
      </c>
      <c r="T49" s="2">
        <v>6</v>
      </c>
      <c r="U49" s="2" t="s">
        <v>47</v>
      </c>
      <c r="V49" s="2">
        <v>8</v>
      </c>
      <c r="W49" s="2" t="s">
        <v>45</v>
      </c>
      <c r="X49" s="2" t="s">
        <v>47</v>
      </c>
      <c r="Y49" s="2" t="s">
        <v>45</v>
      </c>
      <c r="Z49" s="2">
        <v>20</v>
      </c>
      <c r="AA49" s="2">
        <v>5</v>
      </c>
      <c r="AB49" s="1">
        <v>5</v>
      </c>
      <c r="AC49" s="2">
        <v>6</v>
      </c>
      <c r="AD49" s="2" t="s">
        <v>45</v>
      </c>
      <c r="AE49" s="2" t="s">
        <v>45</v>
      </c>
      <c r="AF49" s="2" t="s">
        <v>47</v>
      </c>
      <c r="AG49" s="2" t="s">
        <v>47</v>
      </c>
      <c r="AH49" s="2" t="s">
        <v>46</v>
      </c>
      <c r="AI49" s="2" t="s">
        <v>47</v>
      </c>
      <c r="AJ49" s="2" t="s">
        <v>46</v>
      </c>
      <c r="AK49" s="2" t="s">
        <v>47</v>
      </c>
      <c r="AL49" s="1"/>
      <c r="AM49" s="1"/>
    </row>
    <row r="50" spans="2:39" x14ac:dyDescent="0.3">
      <c r="B50" s="5">
        <v>46</v>
      </c>
      <c r="C50" s="2">
        <v>35</v>
      </c>
      <c r="D50" s="2" t="s">
        <v>11</v>
      </c>
      <c r="E50" s="2" t="s">
        <v>5</v>
      </c>
      <c r="F50" s="2" t="s">
        <v>6</v>
      </c>
      <c r="G50" s="2" t="s">
        <v>48</v>
      </c>
      <c r="H50" s="2" t="s">
        <v>15</v>
      </c>
      <c r="I50" s="2" t="s">
        <v>25</v>
      </c>
      <c r="J50" s="2" t="s">
        <v>45</v>
      </c>
      <c r="L50" s="1" t="s">
        <v>45</v>
      </c>
      <c r="M50" s="2" t="s">
        <v>180</v>
      </c>
      <c r="O50" s="6"/>
      <c r="Q50" s="2">
        <v>6</v>
      </c>
      <c r="R50" s="2">
        <v>4</v>
      </c>
      <c r="S50" s="2">
        <v>3</v>
      </c>
      <c r="T50" s="2">
        <v>5</v>
      </c>
      <c r="U50" s="2" t="s">
        <v>47</v>
      </c>
      <c r="V50" s="2">
        <v>7</v>
      </c>
      <c r="W50" s="2" t="s">
        <v>45</v>
      </c>
      <c r="X50" s="2" t="s">
        <v>47</v>
      </c>
      <c r="Y50" s="2" t="s">
        <v>47</v>
      </c>
      <c r="Z50" s="2">
        <v>20</v>
      </c>
      <c r="AA50" s="2">
        <v>5</v>
      </c>
      <c r="AB50" s="1">
        <v>6</v>
      </c>
      <c r="AC50" s="2">
        <v>6</v>
      </c>
      <c r="AD50" s="2" t="s">
        <v>45</v>
      </c>
      <c r="AE50" s="2" t="s">
        <v>45</v>
      </c>
      <c r="AF50" s="2" t="s">
        <v>47</v>
      </c>
      <c r="AG50" s="2" t="s">
        <v>47</v>
      </c>
      <c r="AH50" s="2" t="s">
        <v>46</v>
      </c>
      <c r="AI50" s="2" t="s">
        <v>47</v>
      </c>
      <c r="AJ50" s="2" t="s">
        <v>47</v>
      </c>
      <c r="AK50" s="2" t="s">
        <v>47</v>
      </c>
      <c r="AL50" s="1"/>
      <c r="AM50" s="1"/>
    </row>
    <row r="51" spans="2:39" x14ac:dyDescent="0.3">
      <c r="B51" s="5">
        <v>47</v>
      </c>
      <c r="C51" s="2">
        <v>27</v>
      </c>
      <c r="D51" s="2" t="s">
        <v>11</v>
      </c>
      <c r="E51" s="2" t="s">
        <v>5</v>
      </c>
      <c r="F51" s="2" t="s">
        <v>6</v>
      </c>
      <c r="G51" s="2" t="s">
        <v>48</v>
      </c>
      <c r="H51" s="2" t="s">
        <v>14</v>
      </c>
      <c r="I51" s="2" t="s">
        <v>26</v>
      </c>
      <c r="J51" s="2" t="s">
        <v>45</v>
      </c>
      <c r="L51" s="1" t="s">
        <v>45</v>
      </c>
      <c r="M51" s="2" t="s">
        <v>180</v>
      </c>
      <c r="O51" s="6"/>
      <c r="Q51" s="2">
        <v>5</v>
      </c>
      <c r="R51" s="2">
        <v>4</v>
      </c>
      <c r="S51" s="2">
        <v>2</v>
      </c>
      <c r="T51" s="2">
        <v>5</v>
      </c>
      <c r="U51" s="2" t="s">
        <v>45</v>
      </c>
      <c r="V51" s="2">
        <v>6</v>
      </c>
      <c r="W51" s="2" t="s">
        <v>45</v>
      </c>
      <c r="X51" s="2" t="s">
        <v>47</v>
      </c>
      <c r="Y51" s="2" t="s">
        <v>47</v>
      </c>
      <c r="Z51" s="2">
        <v>15</v>
      </c>
      <c r="AA51" s="2">
        <v>5</v>
      </c>
      <c r="AB51" s="1">
        <v>7</v>
      </c>
      <c r="AC51" s="2">
        <v>3</v>
      </c>
      <c r="AD51" s="2" t="s">
        <v>45</v>
      </c>
      <c r="AE51" s="2" t="s">
        <v>45</v>
      </c>
      <c r="AF51" s="2" t="s">
        <v>47</v>
      </c>
      <c r="AG51" s="2" t="s">
        <v>47</v>
      </c>
      <c r="AH51" s="2" t="s">
        <v>46</v>
      </c>
      <c r="AI51" s="2" t="s">
        <v>47</v>
      </c>
      <c r="AJ51" s="2" t="s">
        <v>47</v>
      </c>
      <c r="AK51" s="2" t="s">
        <v>47</v>
      </c>
      <c r="AL51" s="1"/>
      <c r="AM51" s="1"/>
    </row>
    <row r="52" spans="2:39" x14ac:dyDescent="0.3">
      <c r="B52" s="5">
        <v>48</v>
      </c>
      <c r="C52" s="2">
        <v>22</v>
      </c>
      <c r="D52" s="2" t="s">
        <v>8</v>
      </c>
      <c r="E52" s="2" t="s">
        <v>5</v>
      </c>
      <c r="F52" s="2" t="s">
        <v>6</v>
      </c>
      <c r="G52" s="2" t="s">
        <v>50</v>
      </c>
      <c r="H52" s="2" t="s">
        <v>15</v>
      </c>
      <c r="I52" s="2" t="s">
        <v>27</v>
      </c>
      <c r="J52" s="2" t="s">
        <v>45</v>
      </c>
      <c r="L52" s="1" t="s">
        <v>45</v>
      </c>
      <c r="M52" s="2" t="s">
        <v>180</v>
      </c>
      <c r="O52" s="6"/>
      <c r="Q52" s="2">
        <v>4</v>
      </c>
      <c r="R52" s="2">
        <v>4</v>
      </c>
      <c r="S52" s="2">
        <v>2</v>
      </c>
      <c r="T52" s="2">
        <v>5</v>
      </c>
      <c r="U52" s="2" t="s">
        <v>46</v>
      </c>
      <c r="V52" s="2">
        <v>5</v>
      </c>
      <c r="W52" s="2" t="s">
        <v>45</v>
      </c>
      <c r="X52" s="2" t="s">
        <v>47</v>
      </c>
      <c r="Y52" s="2" t="s">
        <v>47</v>
      </c>
      <c r="Z52" s="2">
        <v>15</v>
      </c>
      <c r="AA52" s="2">
        <v>5</v>
      </c>
      <c r="AB52" s="1">
        <v>19</v>
      </c>
      <c r="AC52" s="2">
        <v>2</v>
      </c>
      <c r="AD52" s="2" t="s">
        <v>45</v>
      </c>
      <c r="AE52" s="2" t="s">
        <v>45</v>
      </c>
      <c r="AF52" s="2" t="s">
        <v>47</v>
      </c>
      <c r="AG52" s="2" t="s">
        <v>47</v>
      </c>
      <c r="AH52" s="2" t="s">
        <v>46</v>
      </c>
      <c r="AI52" s="2" t="s">
        <v>47</v>
      </c>
      <c r="AJ52" s="2" t="s">
        <v>47</v>
      </c>
      <c r="AK52" s="2" t="s">
        <v>47</v>
      </c>
      <c r="AL52" s="1"/>
      <c r="AM52" s="1"/>
    </row>
    <row r="53" spans="2:39" x14ac:dyDescent="0.3">
      <c r="B53" s="5">
        <v>49</v>
      </c>
      <c r="C53" s="2">
        <v>21</v>
      </c>
      <c r="D53" s="2" t="s">
        <v>7</v>
      </c>
      <c r="E53" s="2" t="s">
        <v>5</v>
      </c>
      <c r="F53" s="2" t="s">
        <v>6</v>
      </c>
      <c r="G53" s="2" t="s">
        <v>49</v>
      </c>
      <c r="H53" s="2" t="s">
        <v>14</v>
      </c>
      <c r="I53" s="2" t="s">
        <v>28</v>
      </c>
      <c r="J53" s="2" t="s">
        <v>45</v>
      </c>
      <c r="L53" s="1" t="s">
        <v>45</v>
      </c>
      <c r="M53" s="2" t="s">
        <v>180</v>
      </c>
      <c r="O53" s="6"/>
      <c r="P53" s="7" t="str">
        <f t="shared" ca="1" si="0"/>
        <v/>
      </c>
      <c r="Q53" s="2">
        <v>3</v>
      </c>
      <c r="R53" s="2">
        <v>3</v>
      </c>
      <c r="S53" s="2">
        <v>2</v>
      </c>
      <c r="T53" s="2">
        <v>5</v>
      </c>
      <c r="U53" s="2" t="s">
        <v>47</v>
      </c>
      <c r="V53" s="2">
        <v>4</v>
      </c>
      <c r="W53" s="2" t="s">
        <v>47</v>
      </c>
      <c r="X53" s="2" t="s">
        <v>47</v>
      </c>
      <c r="Y53" s="2" t="s">
        <v>47</v>
      </c>
      <c r="Z53" s="2">
        <v>10</v>
      </c>
      <c r="AA53" s="2">
        <v>5</v>
      </c>
      <c r="AB53" s="1">
        <v>10</v>
      </c>
      <c r="AC53" s="2">
        <v>2</v>
      </c>
      <c r="AD53" s="2" t="s">
        <v>45</v>
      </c>
      <c r="AE53" s="2" t="s">
        <v>45</v>
      </c>
      <c r="AF53" s="2" t="s">
        <v>47</v>
      </c>
      <c r="AG53" s="2" t="s">
        <v>47</v>
      </c>
      <c r="AH53" s="2" t="s">
        <v>46</v>
      </c>
      <c r="AI53" s="2" t="s">
        <v>47</v>
      </c>
      <c r="AJ53" s="2" t="s">
        <v>47</v>
      </c>
      <c r="AK53" s="2" t="s">
        <v>47</v>
      </c>
      <c r="AL53" s="1"/>
      <c r="AM53" s="1"/>
    </row>
    <row r="54" spans="2:39" x14ac:dyDescent="0.3">
      <c r="B54" s="5">
        <v>50</v>
      </c>
      <c r="C54" s="2">
        <v>20</v>
      </c>
      <c r="D54" s="2" t="s">
        <v>9</v>
      </c>
      <c r="E54" s="2" t="s">
        <v>5</v>
      </c>
      <c r="F54" s="2" t="s">
        <v>6</v>
      </c>
      <c r="G54" s="2" t="s">
        <v>49</v>
      </c>
      <c r="H54" s="2" t="s">
        <v>16</v>
      </c>
      <c r="I54" s="2" t="s">
        <v>27</v>
      </c>
      <c r="J54" s="2" t="s">
        <v>45</v>
      </c>
      <c r="L54" s="1" t="s">
        <v>45</v>
      </c>
      <c r="M54" s="2" t="s">
        <v>180</v>
      </c>
      <c r="O54" s="6"/>
      <c r="P54" s="7" t="str">
        <f t="shared" ca="1" si="0"/>
        <v/>
      </c>
      <c r="Q54" s="2">
        <v>3</v>
      </c>
      <c r="R54" s="2">
        <v>2</v>
      </c>
      <c r="S54" s="2">
        <v>1</v>
      </c>
      <c r="T54" s="2">
        <v>5</v>
      </c>
      <c r="U54" s="2" t="s">
        <v>47</v>
      </c>
      <c r="V54" s="2">
        <v>3</v>
      </c>
      <c r="W54" s="2" t="s">
        <v>47</v>
      </c>
      <c r="X54" s="2" t="s">
        <v>47</v>
      </c>
      <c r="Y54" s="2" t="s">
        <v>47</v>
      </c>
      <c r="Z54" s="2">
        <v>5</v>
      </c>
      <c r="AA54" s="2">
        <v>5</v>
      </c>
      <c r="AB54" s="1">
        <v>10</v>
      </c>
      <c r="AC54" s="2">
        <v>1</v>
      </c>
      <c r="AD54" s="2" t="s">
        <v>45</v>
      </c>
      <c r="AE54" s="2" t="s">
        <v>45</v>
      </c>
      <c r="AF54" s="2" t="s">
        <v>47</v>
      </c>
      <c r="AG54" s="2" t="s">
        <v>47</v>
      </c>
      <c r="AH54" s="2" t="s">
        <v>46</v>
      </c>
      <c r="AI54" s="2" t="s">
        <v>45</v>
      </c>
      <c r="AJ54" s="2" t="s">
        <v>46</v>
      </c>
      <c r="AK54" s="2" t="s">
        <v>47</v>
      </c>
      <c r="AL54" s="1"/>
      <c r="AM54" s="1"/>
    </row>
    <row r="55" spans="2:39" x14ac:dyDescent="0.3">
      <c r="B55" s="5">
        <v>51</v>
      </c>
      <c r="C55" s="2">
        <v>33</v>
      </c>
      <c r="D55" s="2" t="s">
        <v>7</v>
      </c>
      <c r="E55" s="2" t="s">
        <v>5</v>
      </c>
      <c r="F55" s="2" t="s">
        <v>6</v>
      </c>
      <c r="G55" s="2" t="s">
        <v>50</v>
      </c>
      <c r="H55" s="2" t="s">
        <v>14</v>
      </c>
      <c r="I55" s="2" t="s">
        <v>28</v>
      </c>
      <c r="J55" s="2" t="s">
        <v>45</v>
      </c>
      <c r="L55" s="1" t="s">
        <v>45</v>
      </c>
      <c r="M55" s="2" t="s">
        <v>180</v>
      </c>
      <c r="O55" s="6"/>
      <c r="Q55" s="2">
        <v>3</v>
      </c>
      <c r="R55" s="2">
        <v>1</v>
      </c>
      <c r="S55" s="2">
        <v>1</v>
      </c>
      <c r="T55" s="2">
        <v>5</v>
      </c>
      <c r="U55" s="2" t="s">
        <v>47</v>
      </c>
      <c r="V55" s="2">
        <v>3</v>
      </c>
      <c r="W55" s="2" t="s">
        <v>47</v>
      </c>
      <c r="X55" s="2" t="s">
        <v>47</v>
      </c>
      <c r="Y55" s="2" t="s">
        <v>47</v>
      </c>
      <c r="Z55" s="2">
        <v>5</v>
      </c>
      <c r="AA55" s="2">
        <v>4</v>
      </c>
      <c r="AB55" s="2">
        <v>0</v>
      </c>
      <c r="AC55" s="2">
        <v>1</v>
      </c>
      <c r="AD55" s="2" t="s">
        <v>45</v>
      </c>
      <c r="AE55" s="2" t="s">
        <v>45</v>
      </c>
      <c r="AF55" s="2" t="s">
        <v>47</v>
      </c>
      <c r="AG55" s="2" t="s">
        <v>47</v>
      </c>
      <c r="AH55" s="2" t="s">
        <v>46</v>
      </c>
      <c r="AI55" s="2" t="s">
        <v>47</v>
      </c>
      <c r="AJ55" s="2" t="s">
        <v>47</v>
      </c>
      <c r="AK55" s="2" t="s">
        <v>47</v>
      </c>
      <c r="AL55" s="1"/>
      <c r="AM55" s="1"/>
    </row>
  </sheetData>
  <autoFilter ref="A3:AM3" xr:uid="{E48E87BA-F884-4994-9A90-DBDDA7CEA6BB}"/>
  <mergeCells count="5">
    <mergeCell ref="B1:G1"/>
    <mergeCell ref="H1:I1"/>
    <mergeCell ref="J1:P1"/>
    <mergeCell ref="Q1:AJ1"/>
    <mergeCell ref="AK1:AM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85A905-D2EB-4DC3-8A26-A438286810D0}">
  <dimension ref="B3:AF86"/>
  <sheetViews>
    <sheetView workbookViewId="0">
      <selection activeCell="S87" sqref="S87"/>
    </sheetView>
  </sheetViews>
  <sheetFormatPr defaultColWidth="9.140625" defaultRowHeight="18.75" x14ac:dyDescent="0.3"/>
  <cols>
    <col min="1" max="1" width="9.140625" style="10"/>
    <col min="2" max="2" width="32" style="10" customWidth="1"/>
    <col min="3" max="3" width="10.28515625" style="10" customWidth="1"/>
    <col min="4" max="4" width="13.85546875" style="10" customWidth="1"/>
    <col min="5" max="5" width="16.7109375" style="10" bestFit="1" customWidth="1"/>
    <col min="6" max="6" width="17.42578125" style="10" customWidth="1"/>
    <col min="7" max="7" width="16.85546875" style="10" customWidth="1"/>
    <col min="8" max="8" width="16" style="10" customWidth="1"/>
    <col min="9" max="13" width="9.140625" style="10"/>
    <col min="14" max="14" width="8" style="10" customWidth="1"/>
    <col min="15" max="15" width="23.7109375" style="10" customWidth="1"/>
    <col min="16" max="17" width="9.140625" style="10"/>
    <col min="18" max="18" width="8.28515625" style="10" customWidth="1"/>
    <col min="19" max="19" width="20.140625" style="10" customWidth="1"/>
    <col min="20" max="16384" width="9.140625" style="10"/>
  </cols>
  <sheetData>
    <row r="3" spans="2:15" ht="38.25" customHeight="1" x14ac:dyDescent="0.4">
      <c r="N3" s="60" t="e" vm="1">
        <v>#VALUE!</v>
      </c>
      <c r="O3" s="24" t="s">
        <v>61</v>
      </c>
    </row>
    <row r="4" spans="2:15" x14ac:dyDescent="0.3">
      <c r="B4" s="18" t="s">
        <v>135</v>
      </c>
      <c r="C4" s="19" t="s">
        <v>55</v>
      </c>
      <c r="D4" s="19" t="s">
        <v>59</v>
      </c>
      <c r="N4" s="9" t="str">
        <f>_xlfn.CONCAT(ROUND(D5,2) * 100, "% Acceptance rate of eligible persons")</f>
        <v>82% Acceptance rate of eligible persons</v>
      </c>
    </row>
    <row r="5" spans="2:15" x14ac:dyDescent="0.3">
      <c r="B5" s="16" t="s">
        <v>102</v>
      </c>
      <c r="C5" s="16">
        <f>COUNTIFS('Participant Data'!J:J,"yes")</f>
        <v>42</v>
      </c>
      <c r="D5" s="11">
        <f>C5/$C$8</f>
        <v>0.82352941176470584</v>
      </c>
    </row>
    <row r="6" spans="2:15" x14ac:dyDescent="0.3">
      <c r="B6" s="16" t="s">
        <v>127</v>
      </c>
      <c r="C6" s="16">
        <f>COUNTIFS('Participant Data'!J:J,"no")</f>
        <v>8</v>
      </c>
      <c r="D6" s="11">
        <f t="shared" ref="D6:D7" si="0">C6/$C$8</f>
        <v>0.15686274509803921</v>
      </c>
    </row>
    <row r="7" spans="2:15" x14ac:dyDescent="0.3">
      <c r="B7" s="16" t="s">
        <v>128</v>
      </c>
      <c r="C7" s="16">
        <f>COUNTIFS('Participant Data'!J:J,"opted out")</f>
        <v>1</v>
      </c>
      <c r="D7" s="11">
        <f t="shared" si="0"/>
        <v>1.9607843137254902E-2</v>
      </c>
    </row>
    <row r="8" spans="2:15" ht="19.5" thickBot="1" x14ac:dyDescent="0.35">
      <c r="B8" s="16"/>
      <c r="C8" s="22" cm="1">
        <f t="array" ref="C8">SUM(COUNTIF('Participant Data'!J:J,{"yes","no","opted out"}))</f>
        <v>51</v>
      </c>
      <c r="D8" s="20"/>
      <c r="E8" s="21"/>
    </row>
    <row r="9" spans="2:15" ht="19.5" thickTop="1" x14ac:dyDescent="0.3"/>
    <row r="22" spans="2:4" x14ac:dyDescent="0.3">
      <c r="B22" s="18" t="s">
        <v>103</v>
      </c>
      <c r="C22" s="19" t="s">
        <v>55</v>
      </c>
      <c r="D22" s="19" t="s">
        <v>59</v>
      </c>
    </row>
    <row r="23" spans="2:4" x14ac:dyDescent="0.3">
      <c r="B23" s="10" t="s">
        <v>129</v>
      </c>
      <c r="C23" s="16">
        <f>COUNTIFS('Participant Data'!K:K,B23)</f>
        <v>1</v>
      </c>
      <c r="D23" s="12">
        <f>C23/$C$29</f>
        <v>0.125</v>
      </c>
    </row>
    <row r="24" spans="2:4" x14ac:dyDescent="0.3">
      <c r="B24" s="10" t="s">
        <v>134</v>
      </c>
      <c r="C24" s="16">
        <f>COUNTIFS('Participant Data'!K:K,B24)</f>
        <v>1</v>
      </c>
      <c r="D24" s="12">
        <f t="shared" ref="D24:D28" si="1">C24/$C$29</f>
        <v>0.125</v>
      </c>
    </row>
    <row r="25" spans="2:4" x14ac:dyDescent="0.3">
      <c r="B25" s="10" t="s">
        <v>130</v>
      </c>
      <c r="C25" s="16">
        <f>COUNTIFS('Participant Data'!K:K,B25)</f>
        <v>3</v>
      </c>
      <c r="D25" s="12">
        <f t="shared" si="1"/>
        <v>0.375</v>
      </c>
    </row>
    <row r="26" spans="2:4" x14ac:dyDescent="0.3">
      <c r="B26" s="10" t="s">
        <v>131</v>
      </c>
      <c r="C26" s="16">
        <f>COUNTIFS('Participant Data'!K:K,B26)</f>
        <v>1</v>
      </c>
      <c r="D26" s="12">
        <f t="shared" si="1"/>
        <v>0.125</v>
      </c>
    </row>
    <row r="27" spans="2:4" x14ac:dyDescent="0.3">
      <c r="B27" s="10" t="s">
        <v>132</v>
      </c>
      <c r="C27" s="16">
        <f>COUNTIFS('Participant Data'!K:K,B27)</f>
        <v>1</v>
      </c>
      <c r="D27" s="12">
        <f t="shared" si="1"/>
        <v>0.125</v>
      </c>
    </row>
    <row r="28" spans="2:4" x14ac:dyDescent="0.3">
      <c r="B28" s="10" t="s">
        <v>133</v>
      </c>
      <c r="C28" s="16">
        <f>COUNTIFS('Participant Data'!K:K,B28)</f>
        <v>1</v>
      </c>
      <c r="D28" s="12">
        <f t="shared" si="1"/>
        <v>0.125</v>
      </c>
    </row>
    <row r="29" spans="2:4" ht="19.5" thickBot="1" x14ac:dyDescent="0.35">
      <c r="C29" s="13">
        <f>SUM(C23:C28)</f>
        <v>8</v>
      </c>
      <c r="D29" s="10" t="str">
        <f>IF(C29=C6,"","Declined participant values do not match")</f>
        <v/>
      </c>
    </row>
    <row r="30" spans="2:4" ht="19.5" thickTop="1" x14ac:dyDescent="0.3"/>
    <row r="45" spans="2:4" x14ac:dyDescent="0.3">
      <c r="B45" s="18" t="s">
        <v>122</v>
      </c>
      <c r="C45" s="19" t="s">
        <v>55</v>
      </c>
      <c r="D45" s="19" t="s">
        <v>59</v>
      </c>
    </row>
    <row r="46" spans="2:4" x14ac:dyDescent="0.3">
      <c r="B46" s="16" t="s">
        <v>144</v>
      </c>
      <c r="C46" s="16">
        <f>COUNTIFS('Participant Data'!$J:$J,"yes",'Participant Data'!$L:$L,"yes")</f>
        <v>39</v>
      </c>
      <c r="D46" s="11">
        <f>C46/$C$49</f>
        <v>0.9285714285714286</v>
      </c>
    </row>
    <row r="47" spans="2:4" x14ac:dyDescent="0.3">
      <c r="B47" s="16" t="s">
        <v>145</v>
      </c>
      <c r="C47" s="16">
        <f>COUNTIFS('Participant Data'!$J:$J,"yes",'Participant Data'!$L:$L,"no")</f>
        <v>3</v>
      </c>
      <c r="D47" s="11">
        <f t="shared" ref="D47:D48" si="2">C47/$C$49</f>
        <v>7.1428571428571425E-2</v>
      </c>
    </row>
    <row r="48" spans="2:4" x14ac:dyDescent="0.3">
      <c r="B48" s="16" t="s">
        <v>143</v>
      </c>
      <c r="C48" s="16">
        <f>COUNTIFS('Participant Data'!$J:$J,"yes",'Participant Data'!$L:$L, "n/a")</f>
        <v>0</v>
      </c>
      <c r="D48" s="11">
        <f t="shared" si="2"/>
        <v>0</v>
      </c>
    </row>
    <row r="49" spans="2:28" ht="19.5" thickBot="1" x14ac:dyDescent="0.35">
      <c r="B49" s="16"/>
      <c r="C49" s="22">
        <f>SUM(C46:C48)</f>
        <v>42</v>
      </c>
      <c r="D49" s="20"/>
    </row>
    <row r="50" spans="2:28" ht="19.5" thickTop="1" x14ac:dyDescent="0.3"/>
    <row r="58" spans="2:28" x14ac:dyDescent="0.3">
      <c r="T58" s="16"/>
      <c r="U58" s="16"/>
      <c r="V58" s="16"/>
      <c r="W58" s="16"/>
      <c r="X58" s="16"/>
      <c r="Y58" s="16"/>
      <c r="Z58" s="16"/>
      <c r="AA58" s="16"/>
      <c r="AB58" s="16"/>
    </row>
    <row r="59" spans="2:28" x14ac:dyDescent="0.3">
      <c r="T59" s="16"/>
      <c r="U59" s="16"/>
      <c r="V59" s="16"/>
      <c r="W59" s="16"/>
      <c r="X59" s="16"/>
      <c r="Y59" s="16"/>
      <c r="Z59" s="16"/>
      <c r="AA59" s="16"/>
      <c r="AB59" s="16"/>
    </row>
    <row r="60" spans="2:28" x14ac:dyDescent="0.3">
      <c r="T60" s="16"/>
      <c r="U60" s="16"/>
      <c r="V60" s="16"/>
      <c r="W60" s="16"/>
      <c r="X60" s="16"/>
      <c r="Y60" s="16"/>
      <c r="Z60" s="16"/>
      <c r="AA60" s="16"/>
      <c r="AB60" s="16"/>
    </row>
    <row r="61" spans="2:28" x14ac:dyDescent="0.3">
      <c r="T61" s="16"/>
      <c r="U61" s="16"/>
      <c r="V61" s="16"/>
      <c r="W61" s="16"/>
      <c r="X61" s="16"/>
      <c r="Y61" s="16"/>
      <c r="Z61" s="16"/>
      <c r="AA61" s="16"/>
      <c r="AB61" s="16"/>
    </row>
    <row r="62" spans="2:28" x14ac:dyDescent="0.3">
      <c r="T62" s="16"/>
      <c r="U62" s="16"/>
      <c r="V62" s="16"/>
      <c r="W62" s="16"/>
      <c r="X62" s="16"/>
      <c r="Y62" s="16"/>
      <c r="Z62" s="16"/>
      <c r="AA62" s="16"/>
      <c r="AB62" s="16"/>
    </row>
    <row r="63" spans="2:28" x14ac:dyDescent="0.3">
      <c r="T63" s="16"/>
      <c r="U63" s="16"/>
      <c r="V63" s="16"/>
      <c r="W63" s="16"/>
      <c r="X63" s="16"/>
      <c r="Y63" s="16"/>
      <c r="Z63" s="16"/>
      <c r="AA63" s="16"/>
      <c r="AB63" s="16"/>
    </row>
    <row r="64" spans="2:28" x14ac:dyDescent="0.3">
      <c r="T64" s="16"/>
      <c r="U64" s="16"/>
      <c r="V64" s="16"/>
      <c r="W64" s="16"/>
      <c r="X64" s="16"/>
      <c r="Y64" s="16"/>
      <c r="Z64" s="16"/>
      <c r="AA64" s="16"/>
      <c r="AB64" s="16"/>
    </row>
    <row r="65" spans="2:32" x14ac:dyDescent="0.3">
      <c r="B65" s="18" t="s">
        <v>109</v>
      </c>
      <c r="C65" s="19" t="s">
        <v>55</v>
      </c>
      <c r="D65" s="19" t="s">
        <v>59</v>
      </c>
      <c r="T65" s="16"/>
      <c r="Y65" s="16"/>
      <c r="Z65" s="16"/>
      <c r="AA65" s="16"/>
      <c r="AB65" s="16"/>
      <c r="AC65" s="30" t="s">
        <v>52</v>
      </c>
      <c r="AD65" s="31">
        <f>ROUND(D67,2)*100</f>
        <v>71</v>
      </c>
      <c r="AE65" s="30" t="s">
        <v>53</v>
      </c>
      <c r="AF65" s="31">
        <f>ROUND(D68,2)*100</f>
        <v>5</v>
      </c>
    </row>
    <row r="66" spans="2:32" x14ac:dyDescent="0.3">
      <c r="B66" s="16" t="s">
        <v>172</v>
      </c>
      <c r="C66" s="16">
        <f>COUNTIFS('Participant Data'!$J:$J,"yes",'Participant Data'!$M:$M,'Program Details'!B66)</f>
        <v>7</v>
      </c>
      <c r="D66" s="11">
        <f>C66/$C$71</f>
        <v>0.16666666666666666</v>
      </c>
      <c r="T66" s="16"/>
      <c r="Y66" s="16"/>
      <c r="Z66" s="16"/>
      <c r="AA66" s="16"/>
      <c r="AB66" s="16"/>
      <c r="AC66" s="30" t="s">
        <v>146</v>
      </c>
      <c r="AD66" s="32">
        <f>100-AD65</f>
        <v>29</v>
      </c>
      <c r="AE66" s="30" t="s">
        <v>146</v>
      </c>
      <c r="AF66" s="32">
        <f>100-AF65</f>
        <v>95</v>
      </c>
    </row>
    <row r="67" spans="2:32" x14ac:dyDescent="0.3">
      <c r="B67" s="16" t="s">
        <v>173</v>
      </c>
      <c r="C67" s="16">
        <f>COUNTIFS('Participant Data'!$J:$J,"yes",'Participant Data'!$M:$M,'Program Details'!B67)</f>
        <v>30</v>
      </c>
      <c r="D67" s="11">
        <f t="shared" ref="D67:D70" si="3">C67/$C$71</f>
        <v>0.7142857142857143</v>
      </c>
      <c r="T67" s="16"/>
      <c r="Y67" s="16"/>
      <c r="Z67" s="16"/>
      <c r="AA67" s="16"/>
      <c r="AB67" s="16"/>
      <c r="AC67" s="30" t="s">
        <v>147</v>
      </c>
      <c r="AD67" s="32">
        <v>100</v>
      </c>
      <c r="AE67" s="30" t="s">
        <v>147</v>
      </c>
      <c r="AF67" s="32">
        <v>100</v>
      </c>
    </row>
    <row r="68" spans="2:32" x14ac:dyDescent="0.3">
      <c r="B68" s="16" t="s">
        <v>174</v>
      </c>
      <c r="C68" s="16">
        <f>COUNTIFS('Participant Data'!$J:$J,"yes",'Participant Data'!$M:$M,'Program Details'!B68)</f>
        <v>2</v>
      </c>
      <c r="D68" s="11">
        <f t="shared" si="3"/>
        <v>4.7619047619047616E-2</v>
      </c>
      <c r="E68" s="12"/>
      <c r="F68" s="12"/>
      <c r="T68" s="16"/>
      <c r="U68" s="16"/>
      <c r="V68" s="16"/>
      <c r="W68" s="16"/>
      <c r="X68" s="16"/>
      <c r="Y68" s="16"/>
      <c r="Z68" s="16"/>
      <c r="AA68" s="16"/>
      <c r="AB68" s="16"/>
    </row>
    <row r="69" spans="2:32" x14ac:dyDescent="0.3">
      <c r="B69" s="16" t="s">
        <v>175</v>
      </c>
      <c r="C69" s="16">
        <f>COUNTIFS('Participant Data'!$J:$J,"yes",'Participant Data'!$M:$M,'Program Details'!B69)</f>
        <v>3</v>
      </c>
      <c r="D69" s="11">
        <f t="shared" si="3"/>
        <v>7.1428571428571425E-2</v>
      </c>
      <c r="T69" s="16"/>
      <c r="U69" s="16"/>
      <c r="V69" s="16"/>
      <c r="W69" s="16"/>
      <c r="X69" s="16"/>
      <c r="Y69" s="16"/>
      <c r="Z69" s="16"/>
      <c r="AA69" s="16"/>
      <c r="AB69" s="16"/>
    </row>
    <row r="70" spans="2:32" x14ac:dyDescent="0.3">
      <c r="B70" s="10" t="s">
        <v>46</v>
      </c>
      <c r="C70" s="16">
        <f>COUNTIFS('Participant Data'!$J:$J,"yes",'Participant Data'!$M:$M,'Program Details'!B70)</f>
        <v>0</v>
      </c>
      <c r="D70" s="11">
        <f t="shared" si="3"/>
        <v>0</v>
      </c>
      <c r="T70" s="16"/>
      <c r="U70" s="16"/>
      <c r="V70" s="16"/>
      <c r="W70" s="16"/>
      <c r="X70" s="16"/>
      <c r="Y70" s="16"/>
      <c r="Z70" s="16"/>
      <c r="AA70" s="16"/>
      <c r="AB70" s="16"/>
    </row>
    <row r="71" spans="2:32" ht="19.5" thickBot="1" x14ac:dyDescent="0.35">
      <c r="C71" s="13">
        <f>SUM(C66:C70)</f>
        <v>42</v>
      </c>
      <c r="T71" s="16"/>
      <c r="U71" s="16"/>
      <c r="V71" s="16"/>
      <c r="W71" s="16"/>
      <c r="X71" s="16"/>
      <c r="Y71" s="16"/>
      <c r="Z71" s="16"/>
      <c r="AA71" s="16"/>
      <c r="AB71" s="16"/>
    </row>
    <row r="72" spans="2:32" ht="19.5" thickTop="1" x14ac:dyDescent="0.3">
      <c r="T72" s="16"/>
      <c r="U72" s="16"/>
      <c r="V72" s="16"/>
      <c r="W72" s="16"/>
      <c r="X72" s="16"/>
      <c r="Y72" s="16"/>
      <c r="Z72" s="16"/>
      <c r="AA72" s="16"/>
      <c r="AB72" s="16"/>
    </row>
    <row r="73" spans="2:32" x14ac:dyDescent="0.3">
      <c r="T73" s="16"/>
      <c r="U73" s="16"/>
      <c r="V73" s="16"/>
      <c r="W73" s="16"/>
      <c r="X73" s="16"/>
      <c r="Y73" s="16"/>
      <c r="Z73" s="16"/>
      <c r="AA73" s="16"/>
      <c r="AB73" s="16"/>
    </row>
    <row r="74" spans="2:32" x14ac:dyDescent="0.3">
      <c r="T74" s="16"/>
      <c r="U74" s="16"/>
      <c r="V74" s="16"/>
      <c r="W74" s="16"/>
      <c r="X74" s="16"/>
      <c r="Y74" s="16"/>
      <c r="Z74" s="16"/>
      <c r="AA74" s="16"/>
      <c r="AB74" s="16"/>
    </row>
    <row r="75" spans="2:32" x14ac:dyDescent="0.3">
      <c r="T75" s="16"/>
      <c r="U75" s="16"/>
      <c r="V75" s="16"/>
      <c r="W75" s="16"/>
      <c r="X75" s="16"/>
      <c r="Y75" s="16"/>
      <c r="Z75" s="16"/>
      <c r="AA75" s="16"/>
      <c r="AB75" s="16"/>
    </row>
    <row r="76" spans="2:32" x14ac:dyDescent="0.3">
      <c r="T76" s="16"/>
      <c r="U76" s="16"/>
      <c r="V76" s="16"/>
      <c r="W76" s="16"/>
      <c r="X76" s="16"/>
      <c r="Y76" s="16"/>
      <c r="Z76" s="16"/>
      <c r="AA76" s="16"/>
      <c r="AB76" s="16"/>
    </row>
    <row r="80" spans="2:32" x14ac:dyDescent="0.3">
      <c r="B80" s="18" t="s">
        <v>111</v>
      </c>
      <c r="C80" s="19" t="s">
        <v>55</v>
      </c>
      <c r="D80" s="19" t="s">
        <v>59</v>
      </c>
    </row>
    <row r="81" spans="2:4" x14ac:dyDescent="0.3">
      <c r="B81" s="16" t="s">
        <v>169</v>
      </c>
      <c r="C81" s="16">
        <f>COUNTIFS('Participant Data'!$J:$J,"yes",'Participant Data'!N:N,'Program Details'!B81)</f>
        <v>2</v>
      </c>
      <c r="D81" s="11">
        <f>C81/$C$85</f>
        <v>0.4</v>
      </c>
    </row>
    <row r="82" spans="2:4" x14ac:dyDescent="0.3">
      <c r="B82" s="16" t="s">
        <v>179</v>
      </c>
      <c r="C82" s="16">
        <f>COUNTIFS('Participant Data'!$J:$J,"yes",'Participant Data'!N:N,'Program Details'!B82)</f>
        <v>1</v>
      </c>
      <c r="D82" s="11">
        <f>C82/$C$85</f>
        <v>0.2</v>
      </c>
    </row>
    <row r="83" spans="2:4" x14ac:dyDescent="0.3">
      <c r="B83" s="16" t="s">
        <v>170</v>
      </c>
      <c r="C83" s="16">
        <f>COUNTIFS('Participant Data'!$J:$J,"yes",'Participant Data'!N:N,'Program Details'!B83)</f>
        <v>0</v>
      </c>
      <c r="D83" s="11">
        <f>C83/$C$85</f>
        <v>0</v>
      </c>
    </row>
    <row r="84" spans="2:4" x14ac:dyDescent="0.3">
      <c r="B84" s="16" t="s">
        <v>171</v>
      </c>
      <c r="C84" s="16">
        <f>COUNTIFS('Participant Data'!$J:$J,"yes",'Participant Data'!N:N,'Program Details'!B84)</f>
        <v>2</v>
      </c>
      <c r="D84" s="11">
        <f>C84/$C$85</f>
        <v>0.4</v>
      </c>
    </row>
    <row r="85" spans="2:4" ht="19.5" thickBot="1" x14ac:dyDescent="0.35">
      <c r="C85" s="22">
        <f>SUM(C81:C84)</f>
        <v>5</v>
      </c>
      <c r="D85" s="11"/>
    </row>
    <row r="86" spans="2:4" ht="19.5" thickTop="1" x14ac:dyDescent="0.3"/>
  </sheetData>
  <conditionalFormatting sqref="C29">
    <cfRule type="cellIs" dxfId="0" priority="1" operator="notEqual">
      <formula>$C$6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A630F-4D10-44A7-B7DF-80FEF83A77C6}">
  <dimension ref="B4:U93"/>
  <sheetViews>
    <sheetView workbookViewId="0">
      <selection activeCell="Y18" sqref="Y18"/>
    </sheetView>
  </sheetViews>
  <sheetFormatPr defaultColWidth="9.140625" defaultRowHeight="18.75" x14ac:dyDescent="0.3"/>
  <cols>
    <col min="1" max="1" width="9.140625" style="10"/>
    <col min="2" max="2" width="5.85546875" style="10" hidden="1" customWidth="1"/>
    <col min="3" max="3" width="6.42578125" style="10" hidden="1" customWidth="1"/>
    <col min="4" max="4" width="53.7109375" style="10" customWidth="1"/>
    <col min="5" max="5" width="10.28515625" style="10" customWidth="1"/>
    <col min="6" max="6" width="13.85546875" style="10" customWidth="1"/>
    <col min="7" max="7" width="16.7109375" style="10" bestFit="1" customWidth="1"/>
    <col min="8" max="8" width="17.42578125" style="10" customWidth="1"/>
    <col min="9" max="9" width="16.85546875" style="10" customWidth="1"/>
    <col min="10" max="10" width="16" style="10" customWidth="1"/>
    <col min="11" max="19" width="9.140625" style="10"/>
    <col min="20" max="20" width="8.28515625" style="10" customWidth="1"/>
    <col min="21" max="21" width="20.140625" style="10" customWidth="1"/>
    <col min="22" max="16384" width="9.140625" style="10"/>
  </cols>
  <sheetData>
    <row r="4" spans="2:21" ht="38.25" customHeight="1" x14ac:dyDescent="0.4">
      <c r="T4" s="23" t="e" vm="1">
        <v>#VALUE!</v>
      </c>
      <c r="U4" s="24" t="s">
        <v>61</v>
      </c>
    </row>
    <row r="5" spans="2:21" x14ac:dyDescent="0.3">
      <c r="B5" s="9" t="s">
        <v>56</v>
      </c>
      <c r="C5" s="9" t="s">
        <v>57</v>
      </c>
      <c r="D5" s="18" t="s">
        <v>58</v>
      </c>
      <c r="E5" s="19" t="s">
        <v>55</v>
      </c>
      <c r="F5" s="19" t="s">
        <v>59</v>
      </c>
      <c r="G5" s="19" t="s">
        <v>60</v>
      </c>
      <c r="T5" s="9" t="str" cm="1">
        <f t="array" ref="T5">_xlfn.CONCAT((ROUND(INDEX(G6:G11,MATCH(TRUE,INDEX((G6:G11&gt;=0.8),),0)),2) * 100), "% of participants are ", INDEX(C6:C11,MATCH(TRUE,INDEX((G6:G11&gt;=0.8),),0)), " years old and younger")</f>
        <v>83% of participants are 54 years old and younger</v>
      </c>
    </row>
    <row r="6" spans="2:21" x14ac:dyDescent="0.3">
      <c r="B6" s="15"/>
      <c r="C6" s="15">
        <v>24</v>
      </c>
      <c r="D6" s="16" t="str">
        <f>_xlfn.CONCAT(C6, " and Younger")</f>
        <v>24 and Younger</v>
      </c>
      <c r="E6" s="16">
        <f>COUNTIFS('Participant Data'!J:J,"yes",'Participant Data'!C:C,"&lt;="&amp;'Participant Demographics'!C6)</f>
        <v>6</v>
      </c>
      <c r="F6" s="11">
        <f t="shared" ref="F6:F11" si="0">E6/$E$12</f>
        <v>0.14285714285714285</v>
      </c>
      <c r="G6" s="11">
        <f>E6/$E$12</f>
        <v>0.14285714285714285</v>
      </c>
    </row>
    <row r="7" spans="2:21" x14ac:dyDescent="0.3">
      <c r="B7" s="15">
        <v>25</v>
      </c>
      <c r="C7" s="15">
        <v>34</v>
      </c>
      <c r="D7" s="16" t="str">
        <f>_xlfn.CONCAT(B7, " to ",C7)</f>
        <v>25 to 34</v>
      </c>
      <c r="E7" s="16">
        <f>COUNTIFS('Participant Data'!J:J,"yes",'Participant Data'!C:C,"&gt;="&amp;'Participant Demographics'!B7,'Participant Data'!C:C,"&lt;="&amp;'Participant Demographics'!C7)</f>
        <v>20</v>
      </c>
      <c r="F7" s="11">
        <f t="shared" si="0"/>
        <v>0.47619047619047616</v>
      </c>
      <c r="G7" s="17">
        <f>G6+F7</f>
        <v>0.61904761904761907</v>
      </c>
    </row>
    <row r="8" spans="2:21" x14ac:dyDescent="0.3">
      <c r="B8" s="15">
        <v>35</v>
      </c>
      <c r="C8" s="15">
        <v>44</v>
      </c>
      <c r="D8" s="16" t="str">
        <f t="shared" ref="D8:D10" si="1">_xlfn.CONCAT(B8, " to ",C8)</f>
        <v>35 to 44</v>
      </c>
      <c r="E8" s="16">
        <f>COUNTIFS('Participant Data'!J:J,"yes",'Participant Data'!C:C,"&gt;="&amp;'Participant Demographics'!B8,'Participant Data'!C:C,"&lt;="&amp;'Participant Demographics'!C8)</f>
        <v>7</v>
      </c>
      <c r="F8" s="11">
        <f t="shared" si="0"/>
        <v>0.16666666666666666</v>
      </c>
      <c r="G8" s="17">
        <f t="shared" ref="G8:G11" si="2">G7+F8</f>
        <v>0.7857142857142857</v>
      </c>
    </row>
    <row r="9" spans="2:21" x14ac:dyDescent="0.3">
      <c r="B9" s="15">
        <v>45</v>
      </c>
      <c r="C9" s="15">
        <v>54</v>
      </c>
      <c r="D9" s="16" t="str">
        <f t="shared" si="1"/>
        <v>45 to 54</v>
      </c>
      <c r="E9" s="16">
        <f>COUNTIFS('Participant Data'!J:J,"yes",'Participant Data'!C:C,"&gt;="&amp;'Participant Demographics'!B9,'Participant Data'!C:C,"&lt;="&amp;'Participant Demographics'!C9)</f>
        <v>2</v>
      </c>
      <c r="F9" s="11">
        <f t="shared" si="0"/>
        <v>4.7619047619047616E-2</v>
      </c>
      <c r="G9" s="17">
        <f t="shared" si="2"/>
        <v>0.83333333333333326</v>
      </c>
    </row>
    <row r="10" spans="2:21" x14ac:dyDescent="0.3">
      <c r="B10" s="15">
        <v>55</v>
      </c>
      <c r="C10" s="15">
        <v>64</v>
      </c>
      <c r="D10" s="16" t="str">
        <f t="shared" si="1"/>
        <v>55 to 64</v>
      </c>
      <c r="E10" s="16">
        <f>COUNTIFS('Participant Data'!J:J,"yes",'Participant Data'!C:C,"&gt;="&amp;'Participant Demographics'!B10,'Participant Data'!C:C,"&lt;="&amp;'Participant Demographics'!C10)</f>
        <v>6</v>
      </c>
      <c r="F10" s="11">
        <f t="shared" si="0"/>
        <v>0.14285714285714285</v>
      </c>
      <c r="G10" s="17">
        <f t="shared" si="2"/>
        <v>0.97619047619047605</v>
      </c>
    </row>
    <row r="11" spans="2:21" x14ac:dyDescent="0.3">
      <c r="B11" s="15">
        <v>65</v>
      </c>
      <c r="C11" s="15"/>
      <c r="D11" s="16" t="str">
        <f>_xlfn.CONCAT(B11," and Older")</f>
        <v>65 and Older</v>
      </c>
      <c r="E11" s="16">
        <f>COUNTIFS('Participant Data'!J:J,"yes",'Participant Data'!C:C,"&gt;="&amp;'Participant Demographics'!B11)</f>
        <v>1</v>
      </c>
      <c r="F11" s="11">
        <f t="shared" si="0"/>
        <v>2.3809523809523808E-2</v>
      </c>
      <c r="G11" s="17">
        <f t="shared" si="2"/>
        <v>0.99999999999999989</v>
      </c>
    </row>
    <row r="12" spans="2:21" ht="19.5" thickBot="1" x14ac:dyDescent="0.35">
      <c r="E12" s="13">
        <f>COUNTIF('Participant Data'!J:J,"yes")</f>
        <v>42</v>
      </c>
    </row>
    <row r="13" spans="2:21" ht="19.5" thickTop="1" x14ac:dyDescent="0.3"/>
    <row r="24" spans="4:7" x14ac:dyDescent="0.3">
      <c r="D24" s="18" t="s">
        <v>62</v>
      </c>
      <c r="E24" s="18" t="s">
        <v>55</v>
      </c>
      <c r="F24" s="18" t="s">
        <v>59</v>
      </c>
      <c r="G24" s="18" t="s">
        <v>60</v>
      </c>
    </row>
    <row r="25" spans="4:7" x14ac:dyDescent="0.3">
      <c r="D25" s="10" t="s">
        <v>7</v>
      </c>
      <c r="E25" s="10">
        <f>COUNTIFS('Participant Data'!J:J,"yes",'Participant Data'!D:D,'Participant Demographics'!D25)</f>
        <v>14</v>
      </c>
      <c r="F25" s="11">
        <f>E25/$E$12</f>
        <v>0.33333333333333331</v>
      </c>
      <c r="G25" s="11">
        <f>E25/$E$12</f>
        <v>0.33333333333333331</v>
      </c>
    </row>
    <row r="26" spans="4:7" x14ac:dyDescent="0.3">
      <c r="D26" s="10" t="s">
        <v>8</v>
      </c>
      <c r="E26" s="10">
        <f>COUNTIFS('Participant Data'!J:J,"yes",'Participant Data'!D:D,'Participant Demographics'!D26)</f>
        <v>16</v>
      </c>
      <c r="F26" s="11">
        <f t="shared" ref="F26:F29" si="3">E26/$E$12</f>
        <v>0.38095238095238093</v>
      </c>
      <c r="G26" s="17">
        <f>G25+F26</f>
        <v>0.71428571428571419</v>
      </c>
    </row>
    <row r="27" spans="4:7" x14ac:dyDescent="0.3">
      <c r="D27" s="10" t="s">
        <v>9</v>
      </c>
      <c r="E27" s="10">
        <f>COUNTIFS('Participant Data'!J:J,"yes",'Participant Data'!D:D,'Participant Demographics'!D27)</f>
        <v>6</v>
      </c>
      <c r="F27" s="11">
        <f t="shared" si="3"/>
        <v>0.14285714285714285</v>
      </c>
      <c r="G27" s="17">
        <f t="shared" ref="G27:G29" si="4">G26+F27</f>
        <v>0.85714285714285698</v>
      </c>
    </row>
    <row r="28" spans="4:7" ht="37.5" x14ac:dyDescent="0.3">
      <c r="D28" s="25" t="s">
        <v>136</v>
      </c>
      <c r="E28" s="10">
        <f>COUNTIFS('Participant Data'!J:J,"yes",'Participant Data'!D:D,"Non-Binary/Non-Gender Conforming")</f>
        <v>2</v>
      </c>
      <c r="F28" s="11">
        <f t="shared" si="3"/>
        <v>4.7619047619047616E-2</v>
      </c>
      <c r="G28" s="17">
        <f t="shared" si="4"/>
        <v>0.90476190476190466</v>
      </c>
    </row>
    <row r="29" spans="4:7" x14ac:dyDescent="0.3">
      <c r="D29" s="10" t="s">
        <v>11</v>
      </c>
      <c r="E29" s="10">
        <f>COUNTIFS('Participant Data'!J:J,"yes",'Participant Data'!D:D,'Participant Demographics'!D29)</f>
        <v>4</v>
      </c>
      <c r="F29" s="11">
        <f t="shared" si="3"/>
        <v>9.5238095238095233E-2</v>
      </c>
      <c r="G29" s="17">
        <f t="shared" si="4"/>
        <v>0.99999999999999989</v>
      </c>
    </row>
    <row r="30" spans="4:7" ht="19.5" thickBot="1" x14ac:dyDescent="0.35">
      <c r="E30" s="13">
        <f>SUM(E23:E29)</f>
        <v>42</v>
      </c>
    </row>
    <row r="31" spans="4:7" ht="19.5" thickTop="1" x14ac:dyDescent="0.3"/>
    <row r="45" spans="2:10" ht="59.25" customHeight="1" x14ac:dyDescent="0.3">
      <c r="B45" s="18" t="s">
        <v>56</v>
      </c>
      <c r="C45" s="18" t="s">
        <v>57</v>
      </c>
      <c r="D45" s="18" t="s">
        <v>58</v>
      </c>
      <c r="E45" s="18" t="s">
        <v>55</v>
      </c>
      <c r="F45" s="33" t="s">
        <v>7</v>
      </c>
      <c r="G45" s="19" t="s">
        <v>8</v>
      </c>
      <c r="H45" s="19" t="s">
        <v>9</v>
      </c>
      <c r="I45" s="36" t="s">
        <v>138</v>
      </c>
      <c r="J45" s="36" t="s">
        <v>137</v>
      </c>
    </row>
    <row r="46" spans="2:10" x14ac:dyDescent="0.3">
      <c r="B46" s="27"/>
      <c r="C46" s="27">
        <v>24</v>
      </c>
      <c r="D46" s="16" t="str">
        <f>_xlfn.CONCAT(C46, " and Younger")</f>
        <v>24 and Younger</v>
      </c>
      <c r="E46" s="16">
        <f>COUNTIFS('Participant Data'!J:J,"yes",'Participant Data'!C:C,"&lt;="&amp;'Participant Demographics'!C46)</f>
        <v>6</v>
      </c>
      <c r="F46" s="37">
        <f>IFERROR(COUNTIFS('Participant Data'!$J:$J,"yes",'Participant Data'!$C:$C,"&lt;="&amp;'Participant Demographics'!$C$46,'Participant Data'!$D:$D,F45)/$E$46,0)</f>
        <v>0.33333333333333331</v>
      </c>
      <c r="G46" s="26">
        <f>IFERROR(COUNTIFS('Participant Data'!$J:$J,"yes",'Participant Data'!$C:$C,"&lt;="&amp;'Participant Demographics'!$C$46,'Participant Data'!$D:$D,G45)/$E$46,0)</f>
        <v>0.33333333333333331</v>
      </c>
      <c r="H46" s="26">
        <f>IFERROR(COUNTIFS('Participant Data'!$J:$J,"yes",'Participant Data'!$C:$C,"&lt;="&amp;'Participant Demographics'!$C$46,'Participant Data'!$D:$D,H45)/$E$46,0)</f>
        <v>0.33333333333333331</v>
      </c>
      <c r="I46" s="26">
        <f>IFERROR(COUNTIFS('Participant Data'!$J:$J,"yes",'Participant Data'!$C:$C,"&lt;="&amp;'Participant Demographics'!$C$46,'Participant Data'!$D:$D,"Non-Binary/Non-Gender Conforming")/$E$46,0)</f>
        <v>0</v>
      </c>
      <c r="J46" s="26">
        <f>IFERROR(COUNTIFS('Participant Data'!$J:$J,"yes",'Participant Data'!$C:$C,"&lt;="&amp;'Participant Demographics'!$C$46,'Participant Data'!$D:$D,"Prefer not to answer")/$E$46,0)</f>
        <v>0</v>
      </c>
    </row>
    <row r="47" spans="2:10" x14ac:dyDescent="0.3">
      <c r="B47" s="14">
        <v>25</v>
      </c>
      <c r="C47" s="14">
        <v>34</v>
      </c>
      <c r="D47" s="16" t="str">
        <f>_xlfn.CONCAT(B47, " to ",C47)</f>
        <v>25 to 34</v>
      </c>
      <c r="E47" s="16">
        <f>COUNTIFS('Participant Data'!J:J,"yes",'Participant Data'!C:C,"&gt;="&amp;'Participant Demographics'!B47,'Participant Data'!C:C,"&lt;="&amp;'Participant Demographics'!C47)</f>
        <v>20</v>
      </c>
      <c r="F47" s="37">
        <f>IFERROR(COUNTIFS('Participant Data'!J:J,"yes",'Participant Data'!$C:$C,"&gt;="&amp;'Participant Demographics'!$B$47,'Participant Data'!$C:$C,"&lt;="&amp;'Participant Demographics'!$C$47,'Participant Data'!$D:$D,'Participant Demographics'!F45)/$E$47,0)</f>
        <v>0.2</v>
      </c>
      <c r="G47" s="26">
        <f>IFERROR(COUNTIFS('Participant Data'!J:J,"yes",'Participant Data'!$C:$C,"&gt;="&amp;'Participant Demographics'!$B$47,'Participant Data'!$C:$C,"&lt;="&amp;'Participant Demographics'!$C$47,'Participant Data'!$D:$D,'Participant Demographics'!G45)/$E$47,0)</f>
        <v>0.5</v>
      </c>
      <c r="H47" s="26">
        <f>IFERROR(COUNTIFS('Participant Data'!J:J,"yes",'Participant Data'!$C:$C,"&gt;="&amp;'Participant Demographics'!$B$47,'Participant Data'!$C:$C,"&lt;="&amp;'Participant Demographics'!$C$47,'Participant Data'!$D:$D,'Participant Demographics'!H45)/$E$47,0)</f>
        <v>0.1</v>
      </c>
      <c r="I47" s="26">
        <f>IFERROR(COUNTIFS('Participant Data'!J:J,"yes",'Participant Data'!$C:$C,"&gt;="&amp;'Participant Demographics'!$B$47,'Participant Data'!$C:$C,"&lt;="&amp;'Participant Demographics'!$C$47,'Participant Data'!$D:$D,"Non-Binary/Non-Gender Conforming")/$E$47,0)</f>
        <v>0.1</v>
      </c>
      <c r="J47" s="26">
        <f>IFERROR(COUNTIFS('Participant Data'!J:J,"yes",'Participant Data'!$C:$C,"&gt;="&amp;'Participant Demographics'!$B$47,'Participant Data'!$C:$C,"&lt;="&amp;'Participant Demographics'!$C$47,'Participant Data'!$D:$D,"Prefer not to answer")/$E$47,0)</f>
        <v>0.1</v>
      </c>
    </row>
    <row r="48" spans="2:10" x14ac:dyDescent="0.3">
      <c r="B48" s="14">
        <v>35</v>
      </c>
      <c r="C48" s="14">
        <v>44</v>
      </c>
      <c r="D48" s="16" t="str">
        <f t="shared" ref="D48:D50" si="5">_xlfn.CONCAT(B48, " to ",C48)</f>
        <v>35 to 44</v>
      </c>
      <c r="E48" s="16">
        <f>COUNTIFS('Participant Data'!J:J,"yes",'Participant Data'!C:C,"&gt;="&amp;'Participant Demographics'!B48,'Participant Data'!C:C,"&lt;="&amp;'Participant Demographics'!C48)</f>
        <v>7</v>
      </c>
      <c r="F48" s="37">
        <f>IFERROR(COUNTIFS('Participant Data'!J:J,"yes",'Participant Data'!$C:$C,"&gt;="&amp;'Participant Demographics'!$B$48,'Participant Data'!$C:$C,"&lt;="&amp;'Participant Demographics'!$C$48, 'Participant Data'!$D:$D,'Participant Demographics'!F45)/$E$48,0)</f>
        <v>0.7142857142857143</v>
      </c>
      <c r="G48" s="26">
        <f>COUNTIFS('Participant Data'!J:J,"yes",'Participant Data'!$C:$C,"&gt;="&amp;'Participant Demographics'!$B$48,'Participant Data'!$C:$C,"&lt;="&amp;'Participant Demographics'!$C$48, 'Participant Data'!$D:$D,'Participant Demographics'!G45)/$E$48</f>
        <v>0</v>
      </c>
      <c r="H48" s="26">
        <f>IFERROR(COUNTIFS('Participant Data'!J:J,"yes",'Participant Data'!$C:$C,"&gt;="&amp;'Participant Demographics'!$B$48,'Participant Data'!$C:$C,"&lt;="&amp;'Participant Demographics'!$C$48, 'Participant Data'!$D:$D,'Participant Demographics'!H45)/$E$48,0)</f>
        <v>0</v>
      </c>
      <c r="I48" s="26">
        <f>IFERROR(COUNTIFS('Participant Data'!J:J,"yes",'Participant Data'!$C:$C,"&gt;="&amp;'Participant Demographics'!$B$48,'Participant Data'!$C:$C,"&lt;="&amp;'Participant Demographics'!$C$48, 'Participant Data'!$D:$D,"Non-Binary/Non-Gender Conforming")/$E$48,0)</f>
        <v>0</v>
      </c>
      <c r="J48" s="26">
        <f>IFERROR(COUNTIFS('Participant Data'!J:J,"yes",'Participant Data'!$C:$C,"&gt;="&amp;'Participant Demographics'!$B$48,'Participant Data'!$C:$C,"&lt;="&amp;'Participant Demographics'!$C$48, 'Participant Data'!$D:$D,"Prefer not to answer")/$E$48,0)</f>
        <v>0.2857142857142857</v>
      </c>
    </row>
    <row r="49" spans="2:10" x14ac:dyDescent="0.3">
      <c r="B49" s="14">
        <v>45</v>
      </c>
      <c r="C49" s="14">
        <v>54</v>
      </c>
      <c r="D49" s="16" t="str">
        <f t="shared" si="5"/>
        <v>45 to 54</v>
      </c>
      <c r="E49" s="16">
        <f>COUNTIFS('Participant Data'!J:J,"yes",'Participant Data'!C:C,"&gt;="&amp;'Participant Demographics'!B49,'Participant Data'!C:C,"&lt;="&amp;'Participant Demographics'!C49)</f>
        <v>2</v>
      </c>
      <c r="F49" s="37">
        <f>IFERROR(COUNTIFS('Participant Data'!J:J,"yes",'Participant Data'!$C:$C,"&gt;="&amp;'Participant Demographics'!$B$49,'Participant Data'!$C:$C,"&lt;="&amp;'Participant Demographics'!$C$49, 'Participant Data'!$D:$D,'Participant Demographics'!F45)/$E$49,0)</f>
        <v>0</v>
      </c>
      <c r="G49" s="26">
        <f>IFERROR(COUNTIFS('Participant Data'!J:J,"yes",'Participant Data'!$C:$C,"&gt;="&amp;'Participant Demographics'!$B$49,'Participant Data'!$C:$C,"&lt;="&amp;'Participant Demographics'!$C$49, 'Participant Data'!$D:$D,'Participant Demographics'!G45)/$E$49,0)</f>
        <v>1</v>
      </c>
      <c r="H49" s="26">
        <f>IFERROR(COUNTIFS('Participant Data'!J:J,"yes",'Participant Data'!$C:$C,"&gt;="&amp;'Participant Demographics'!$B$49,'Participant Data'!$C:$C,"&lt;="&amp;'Participant Demographics'!$C$49, 'Participant Data'!$D:$D,'Participant Demographics'!H45)/$E$49,0)</f>
        <v>0</v>
      </c>
      <c r="I49" s="26">
        <f>IFERROR(COUNTIFS('Participant Data'!J:J,"yes",'Participant Data'!$C:$C,"&gt;="&amp;'Participant Demographics'!$B$49,'Participant Data'!$C:$C,"&lt;="&amp;'Participant Demographics'!$C$49, 'Participant Data'!$D:$D,"Non-Binary/Non-Gender Conforming")/$E$49,0)</f>
        <v>0</v>
      </c>
      <c r="J49" s="26">
        <f>IFERROR(COUNTIFS('Participant Data'!J:J,"yes",'Participant Data'!$C:$C,"&gt;="&amp;'Participant Demographics'!$B$49,'Participant Data'!$C:$C,"&lt;="&amp;'Participant Demographics'!$C$49, 'Participant Data'!$D:$D,"Prefer not to answer")/$E$49,0)</f>
        <v>0</v>
      </c>
    </row>
    <row r="50" spans="2:10" x14ac:dyDescent="0.3">
      <c r="B50" s="14">
        <v>55</v>
      </c>
      <c r="C50" s="14">
        <v>64</v>
      </c>
      <c r="D50" s="16" t="str">
        <f t="shared" si="5"/>
        <v>55 to 64</v>
      </c>
      <c r="E50" s="16">
        <f>COUNTIFS('Participant Data'!J:J,"yes",'Participant Data'!C:C,"&gt;="&amp;'Participant Demographics'!B50,'Participant Data'!C:C,"&lt;="&amp;'Participant Demographics'!C50)</f>
        <v>6</v>
      </c>
      <c r="F50" s="37">
        <f>IFERROR(COUNTIFS('Participant Data'!J:J,"yes",'Participant Data'!$C:$C,"&gt;="&amp;'Participant Demographics'!$B$50,'Participant Data'!$C:$C,"&lt;="&amp;'Participant Demographics'!$C$50, 'Participant Data'!$D:$D,'Participant Demographics'!F45)/$E$50,0)</f>
        <v>0.33333333333333331</v>
      </c>
      <c r="G50" s="26">
        <f>IFERROR(COUNTIFS('Participant Data'!J:J,"yes",'Participant Data'!$C:$C,"&gt;="&amp;'Participant Demographics'!$B$50,'Participant Data'!$C:$C,"&lt;="&amp;'Participant Demographics'!$C$50, 'Participant Data'!$D:$D,'Participant Demographics'!G45)/$E$50,0)</f>
        <v>0.33333333333333331</v>
      </c>
      <c r="H50" s="26">
        <f>IFERROR(COUNTIFS('Participant Data'!J:J,"yes",'Participant Data'!$C:$C,"&gt;="&amp;'Participant Demographics'!$B$50,'Participant Data'!$C:$C,"&lt;="&amp;'Participant Demographics'!$C$50, 'Participant Data'!$D:$D,'Participant Demographics'!H45)/$E$50,0)</f>
        <v>0.33333333333333331</v>
      </c>
      <c r="I50" s="26">
        <f>IFERROR(COUNTIFS('Participant Data'!J:J,"yes",'Participant Data'!$C:$C,"&gt;="&amp;'Participant Demographics'!$B$50,'Participant Data'!$C:$C,"&lt;="&amp;'Participant Demographics'!$C$50, 'Participant Data'!$D:$D,"Non-Binary/Non-Gender Conforming")/$E$50,0)</f>
        <v>0</v>
      </c>
      <c r="J50" s="26">
        <f>IFERROR(COUNTIFS('Participant Data'!J:J,"yes",'Participant Data'!$C:$C,"&gt;="&amp;'Participant Demographics'!$B$50,'Participant Data'!$C:$C,"&lt;="&amp;'Participant Demographics'!$C$50, 'Participant Data'!$D:$D,"Prefer not to answer")/$E$50,0)</f>
        <v>0</v>
      </c>
    </row>
    <row r="51" spans="2:10" x14ac:dyDescent="0.3">
      <c r="B51" s="14">
        <v>65</v>
      </c>
      <c r="C51" s="14"/>
      <c r="D51" s="16" t="str">
        <f>_xlfn.CONCAT(B51," and Older")</f>
        <v>65 and Older</v>
      </c>
      <c r="E51" s="16">
        <f>COUNTIFS('Participant Data'!J:J,"yes",'Participant Data'!C:C,"&gt;="&amp;'Participant Demographics'!B51)</f>
        <v>1</v>
      </c>
      <c r="F51" s="37">
        <f>IFERROR(COUNTIFS('Participant Data'!J:J,"yes",'Participant Data'!$C:$C,"&gt;="&amp;'Participant Demographics'!$B$51, 'Participant Data'!$D:$D,'Participant Demographics'!F45)/$E$51,0)</f>
        <v>1</v>
      </c>
      <c r="G51" s="26">
        <f>IFERROR(COUNTIFS('Participant Data'!J:J,"yes",'Participant Data'!$C:$C,"&gt;="&amp;'Participant Demographics'!$B$51, 'Participant Data'!$D:$D,'Participant Demographics'!G45)/$E$51,0)</f>
        <v>0</v>
      </c>
      <c r="H51" s="26">
        <f>IFERROR(COUNTIFS('Participant Data'!J:J,"yes",'Participant Data'!$C:$C,"&gt;="&amp;'Participant Demographics'!$B$51, 'Participant Data'!$D:$D,'Participant Demographics'!H45)/$E$51,0)</f>
        <v>0</v>
      </c>
      <c r="I51" s="26">
        <f>IFERROR(COUNTIFS('Participant Data'!J:J,"yes",'Participant Data'!$C:$C,"&gt;="&amp;'Participant Demographics'!$B$51, 'Participant Data'!$D:$D,"Non-Binary/Non-Gender Conforming")/$E$51,0)</f>
        <v>0</v>
      </c>
      <c r="J51" s="26">
        <f>IFERROR(COUNTIFS('Participant Data'!J:J,"yes",'Participant Data'!$C:$C,"&gt;="&amp;'Participant Demographics'!$B$51, 'Participant Data'!$D:$D,"Prefer not to answer")/$E$51,0)</f>
        <v>0</v>
      </c>
    </row>
    <row r="52" spans="2:10" ht="19.5" thickBot="1" x14ac:dyDescent="0.35">
      <c r="E52" s="13">
        <f>SUM(E46:E51)</f>
        <v>42</v>
      </c>
    </row>
    <row r="53" spans="2:10" ht="19.5" thickTop="1" x14ac:dyDescent="0.3"/>
    <row r="68" spans="4:6" x14ac:dyDescent="0.3">
      <c r="D68" s="18" t="s">
        <v>97</v>
      </c>
      <c r="E68" s="19" t="s">
        <v>55</v>
      </c>
      <c r="F68" s="19" t="s">
        <v>59</v>
      </c>
    </row>
    <row r="69" spans="4:6" x14ac:dyDescent="0.3">
      <c r="D69" s="16" t="s">
        <v>3</v>
      </c>
      <c r="E69" s="16">
        <f>COUNTIFS('Participant Data'!J:J,"yes",'Participant Data'!E:E,'Participant Demographics'!D69)</f>
        <v>2</v>
      </c>
      <c r="F69" s="11">
        <f>E69/$E$74</f>
        <v>4.7619047619047616E-2</v>
      </c>
    </row>
    <row r="70" spans="4:6" x14ac:dyDescent="0.3">
      <c r="D70" s="16" t="s">
        <v>4</v>
      </c>
      <c r="E70" s="16">
        <f>COUNTIFS('Participant Data'!J:J,"yes",'Participant Data'!E:E,'Participant Demographics'!D70)</f>
        <v>12</v>
      </c>
      <c r="F70" s="11">
        <f t="shared" ref="F70:F73" si="6">E70/$E$74</f>
        <v>0.2857142857142857</v>
      </c>
    </row>
    <row r="71" spans="4:6" x14ac:dyDescent="0.3">
      <c r="D71" s="16" t="s">
        <v>178</v>
      </c>
      <c r="E71" s="16">
        <f>COUNTIFS('Participant Data'!J:J,"yes",'Participant Data'!E:E,'Participant Demographics'!D71)</f>
        <v>2</v>
      </c>
      <c r="F71" s="11">
        <f t="shared" si="6"/>
        <v>4.7619047619047616E-2</v>
      </c>
    </row>
    <row r="72" spans="4:6" x14ac:dyDescent="0.3">
      <c r="D72" s="16" t="s">
        <v>12</v>
      </c>
      <c r="E72" s="16">
        <f>COUNTIFS('Participant Data'!J:J,"yes",'Participant Data'!E:E,'Participant Demographics'!D72)</f>
        <v>2</v>
      </c>
      <c r="F72" s="11">
        <f t="shared" si="6"/>
        <v>4.7619047619047616E-2</v>
      </c>
    </row>
    <row r="73" spans="4:6" x14ac:dyDescent="0.3">
      <c r="D73" s="10" t="s">
        <v>5</v>
      </c>
      <c r="E73" s="16">
        <f>COUNTIFS('Participant Data'!J:J,"yes",'Participant Data'!E:E,'Participant Demographics'!D73)</f>
        <v>24</v>
      </c>
      <c r="F73" s="11">
        <f t="shared" si="6"/>
        <v>0.5714285714285714</v>
      </c>
    </row>
    <row r="74" spans="4:6" ht="19.5" thickBot="1" x14ac:dyDescent="0.35">
      <c r="E74" s="13">
        <f>SUM(E69:E73)</f>
        <v>42</v>
      </c>
    </row>
    <row r="75" spans="4:6" ht="19.5" thickTop="1" x14ac:dyDescent="0.3"/>
    <row r="89" spans="4:6" x14ac:dyDescent="0.3">
      <c r="D89" s="18" t="s">
        <v>98</v>
      </c>
      <c r="E89" s="19" t="s">
        <v>55</v>
      </c>
      <c r="F89" s="19" t="s">
        <v>59</v>
      </c>
    </row>
    <row r="90" spans="4:6" x14ac:dyDescent="0.3">
      <c r="D90" s="16" t="s">
        <v>73</v>
      </c>
      <c r="E90" s="16">
        <f>COUNTIFS('Participant Data'!J:J,"yes",'Participant Data'!F:F,'Participant Demographics'!D90)</f>
        <v>4</v>
      </c>
      <c r="F90" s="11">
        <f>E90/$E$92</f>
        <v>9.5238095238095233E-2</v>
      </c>
    </row>
    <row r="91" spans="4:6" x14ac:dyDescent="0.3">
      <c r="D91" s="16" t="s">
        <v>6</v>
      </c>
      <c r="E91" s="16">
        <f>COUNTIFS('Participant Data'!J:J,"yes",'Participant Data'!F:F,'Participant Demographics'!D91)</f>
        <v>38</v>
      </c>
      <c r="F91" s="11">
        <f>E91/$E$92</f>
        <v>0.90476190476190477</v>
      </c>
    </row>
    <row r="92" spans="4:6" ht="19.5" thickBot="1" x14ac:dyDescent="0.35">
      <c r="E92" s="13">
        <f>SUM(E90:E91)</f>
        <v>42</v>
      </c>
    </row>
    <row r="93" spans="4:6" ht="19.5" thickTop="1" x14ac:dyDescent="0.3"/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33A69-BEFE-4B40-B2EB-8DC44C2AD65A}">
  <dimension ref="B3:J73"/>
  <sheetViews>
    <sheetView topLeftCell="A63" workbookViewId="0">
      <selection activeCell="S24" sqref="S24"/>
    </sheetView>
  </sheetViews>
  <sheetFormatPr defaultColWidth="9.140625" defaultRowHeight="18.75" x14ac:dyDescent="0.3"/>
  <cols>
    <col min="1" max="1" width="9.140625" style="10"/>
    <col min="2" max="2" width="25.28515625" style="10" bestFit="1" customWidth="1"/>
    <col min="3" max="4" width="14.42578125" style="10" bestFit="1" customWidth="1"/>
    <col min="5" max="5" width="16.7109375" style="10" bestFit="1" customWidth="1"/>
    <col min="6" max="7" width="22.28515625" style="10" bestFit="1" customWidth="1"/>
    <col min="8" max="8" width="11.140625" style="10" bestFit="1" customWidth="1"/>
    <col min="9" max="10" width="11.42578125" style="10" bestFit="1" customWidth="1"/>
    <col min="11" max="16384" width="9.140625" style="10"/>
  </cols>
  <sheetData>
    <row r="3" spans="2:5" x14ac:dyDescent="0.3">
      <c r="B3" s="18" t="s">
        <v>94</v>
      </c>
      <c r="C3" s="19" t="s">
        <v>55</v>
      </c>
      <c r="D3" s="19" t="s">
        <v>59</v>
      </c>
      <c r="E3" s="19" t="s">
        <v>60</v>
      </c>
    </row>
    <row r="4" spans="2:5" x14ac:dyDescent="0.3">
      <c r="B4" s="16" t="s">
        <v>13</v>
      </c>
      <c r="C4" s="16">
        <f>COUNTIFS('Participant Data'!J:J,"yes",'Participant Data'!H:H,'Participant Charges'!B4)</f>
        <v>0</v>
      </c>
      <c r="D4" s="11">
        <f>C4/$C$14</f>
        <v>0</v>
      </c>
      <c r="E4" s="11">
        <f>C4/$C$14</f>
        <v>0</v>
      </c>
    </row>
    <row r="5" spans="2:5" x14ac:dyDescent="0.3">
      <c r="B5" s="16" t="s">
        <v>14</v>
      </c>
      <c r="C5" s="16">
        <f>COUNTIFS('Participant Data'!J:J,"yes",'Participant Data'!H:H,'Participant Charges'!B5)</f>
        <v>18</v>
      </c>
      <c r="D5" s="11">
        <f t="shared" ref="D5:D13" si="0">C5/$C$14</f>
        <v>0.42857142857142855</v>
      </c>
      <c r="E5" s="17">
        <f>E4+D5</f>
        <v>0.42857142857142855</v>
      </c>
    </row>
    <row r="6" spans="2:5" x14ac:dyDescent="0.3">
      <c r="B6" s="16" t="s">
        <v>15</v>
      </c>
      <c r="C6" s="16">
        <f>COUNTIFS('Participant Data'!J:J,"yes",'Participant Data'!H:H,'Participant Charges'!B6)</f>
        <v>14</v>
      </c>
      <c r="D6" s="11">
        <f t="shared" si="0"/>
        <v>0.33333333333333331</v>
      </c>
      <c r="E6" s="17">
        <f t="shared" ref="E6:E13" si="1">E5+D6</f>
        <v>0.76190476190476186</v>
      </c>
    </row>
    <row r="7" spans="2:5" x14ac:dyDescent="0.3">
      <c r="B7" s="16" t="s">
        <v>16</v>
      </c>
      <c r="C7" s="16">
        <f>COUNTIFS('Participant Data'!J:J,"yes",'Participant Data'!H:H,'Participant Charges'!B7)</f>
        <v>2</v>
      </c>
      <c r="D7" s="11">
        <f t="shared" si="0"/>
        <v>4.7619047619047616E-2</v>
      </c>
      <c r="E7" s="17">
        <f t="shared" si="1"/>
        <v>0.80952380952380953</v>
      </c>
    </row>
    <row r="8" spans="2:5" x14ac:dyDescent="0.3">
      <c r="B8" s="10" t="s">
        <v>17</v>
      </c>
      <c r="C8" s="16">
        <f>COUNTIFS('Participant Data'!J:J,"yes",'Participant Data'!H:H,'Participant Charges'!B8)</f>
        <v>8</v>
      </c>
      <c r="D8" s="11">
        <f t="shared" si="0"/>
        <v>0.19047619047619047</v>
      </c>
      <c r="E8" s="17">
        <f t="shared" si="1"/>
        <v>1</v>
      </c>
    </row>
    <row r="9" spans="2:5" x14ac:dyDescent="0.3">
      <c r="B9" s="16" t="s">
        <v>18</v>
      </c>
      <c r="C9" s="16">
        <f>COUNTIFS('Participant Data'!J:J,"yes",'Participant Data'!H:H,'Participant Charges'!B9)</f>
        <v>0</v>
      </c>
      <c r="D9" s="11">
        <f t="shared" si="0"/>
        <v>0</v>
      </c>
      <c r="E9" s="17">
        <f t="shared" si="1"/>
        <v>1</v>
      </c>
    </row>
    <row r="10" spans="2:5" x14ac:dyDescent="0.3">
      <c r="B10" s="16" t="s">
        <v>19</v>
      </c>
      <c r="C10" s="16">
        <f>COUNTIFS('Participant Data'!J:J,"yes",'Participant Data'!H:H,'Participant Charges'!B10)</f>
        <v>0</v>
      </c>
      <c r="D10" s="11">
        <f t="shared" si="0"/>
        <v>0</v>
      </c>
      <c r="E10" s="17">
        <f t="shared" si="1"/>
        <v>1</v>
      </c>
    </row>
    <row r="11" spans="2:5" x14ac:dyDescent="0.3">
      <c r="B11" s="16" t="s">
        <v>20</v>
      </c>
      <c r="C11" s="16">
        <f>COUNTIFS('Participant Data'!J:J,"yes",'Participant Data'!H:H,'Participant Charges'!B11)</f>
        <v>0</v>
      </c>
      <c r="D11" s="11">
        <f t="shared" si="0"/>
        <v>0</v>
      </c>
      <c r="E11" s="17">
        <f t="shared" si="1"/>
        <v>1</v>
      </c>
    </row>
    <row r="12" spans="2:5" x14ac:dyDescent="0.3">
      <c r="B12" s="16" t="s">
        <v>21</v>
      </c>
      <c r="C12" s="16">
        <f>COUNTIFS('Participant Data'!J:J,"yes",'Participant Data'!H:H,'Participant Charges'!B12)</f>
        <v>0</v>
      </c>
      <c r="D12" s="11">
        <f t="shared" si="0"/>
        <v>0</v>
      </c>
      <c r="E12" s="17">
        <f t="shared" si="1"/>
        <v>1</v>
      </c>
    </row>
    <row r="13" spans="2:5" x14ac:dyDescent="0.3">
      <c r="B13" s="16" t="s">
        <v>22</v>
      </c>
      <c r="C13" s="16">
        <f>COUNTIFS('Participant Data'!J:J,"yes",'Participant Data'!H:H,'Participant Charges'!B13)</f>
        <v>0</v>
      </c>
      <c r="D13" s="11">
        <f t="shared" si="0"/>
        <v>0</v>
      </c>
      <c r="E13" s="17">
        <f t="shared" si="1"/>
        <v>1</v>
      </c>
    </row>
    <row r="14" spans="2:5" ht="19.5" thickBot="1" x14ac:dyDescent="0.35">
      <c r="C14" s="13">
        <f>SUM(C4:C13)</f>
        <v>42</v>
      </c>
    </row>
    <row r="15" spans="2:5" ht="19.5" thickTop="1" x14ac:dyDescent="0.3"/>
    <row r="27" spans="2:5" x14ac:dyDescent="0.3">
      <c r="B27" s="18" t="s">
        <v>94</v>
      </c>
      <c r="C27" s="19" t="s">
        <v>55</v>
      </c>
      <c r="D27" s="19" t="s">
        <v>59</v>
      </c>
      <c r="E27" s="28"/>
    </row>
    <row r="28" spans="2:5" x14ac:dyDescent="0.3">
      <c r="B28" s="16" t="s">
        <v>23</v>
      </c>
      <c r="C28" s="16">
        <f>COUNTIFS('Participant Data'!J:J,"yes",'Participant Data'!I:I,'Participant Charges'!B28)</f>
        <v>2</v>
      </c>
      <c r="D28" s="11">
        <f>C28/$C$14</f>
        <v>4.7619047619047616E-2</v>
      </c>
      <c r="E28" s="11"/>
    </row>
    <row r="29" spans="2:5" x14ac:dyDescent="0.3">
      <c r="B29" s="16" t="s">
        <v>29</v>
      </c>
      <c r="C29" s="16">
        <f>COUNTIFS('Participant Data'!J:J,"yes",'Participant Data'!I:I,'Participant Charges'!B29)</f>
        <v>6</v>
      </c>
      <c r="D29" s="11">
        <f t="shared" ref="D29:D34" si="2">C29/$C$14</f>
        <v>0.14285714285714285</v>
      </c>
      <c r="E29" s="17"/>
    </row>
    <row r="30" spans="2:5" x14ac:dyDescent="0.3">
      <c r="B30" s="16" t="s">
        <v>181</v>
      </c>
      <c r="C30" s="16">
        <f>COUNTIFS('Participant Data'!J:J,"yes",'Participant Data'!I:I,'Participant Charges'!B30)</f>
        <v>8</v>
      </c>
      <c r="D30" s="11">
        <f t="shared" si="2"/>
        <v>0.19047619047619047</v>
      </c>
      <c r="E30" s="17"/>
    </row>
    <row r="31" spans="2:5" x14ac:dyDescent="0.3">
      <c r="B31" s="16" t="s">
        <v>25</v>
      </c>
      <c r="C31" s="16">
        <f>COUNTIFS('Participant Data'!J:J,"yes",'Participant Data'!I:I,'Participant Charges'!B31)</f>
        <v>8</v>
      </c>
      <c r="D31" s="11">
        <f t="shared" si="2"/>
        <v>0.19047619047619047</v>
      </c>
      <c r="E31" s="17"/>
    </row>
    <row r="32" spans="2:5" x14ac:dyDescent="0.3">
      <c r="B32" s="10" t="s">
        <v>26</v>
      </c>
      <c r="C32" s="16">
        <f>COUNTIFS('Participant Data'!J:J,"yes",'Participant Data'!I:I,'Participant Charges'!B32)</f>
        <v>4</v>
      </c>
      <c r="D32" s="11">
        <f t="shared" si="2"/>
        <v>9.5238095238095233E-2</v>
      </c>
      <c r="E32" s="17"/>
    </row>
    <row r="33" spans="2:10" x14ac:dyDescent="0.3">
      <c r="B33" s="16" t="s">
        <v>27</v>
      </c>
      <c r="C33" s="16">
        <f>COUNTIFS('Participant Data'!J:J,"yes",'Participant Data'!I:I,'Participant Charges'!B33)</f>
        <v>8</v>
      </c>
      <c r="D33" s="11">
        <f t="shared" si="2"/>
        <v>0.19047619047619047</v>
      </c>
      <c r="E33" s="17"/>
    </row>
    <row r="34" spans="2:10" x14ac:dyDescent="0.3">
      <c r="B34" s="16" t="s">
        <v>28</v>
      </c>
      <c r="C34" s="16">
        <f>COUNTIFS('Participant Data'!J:J,"yes",'Participant Data'!I:I,'Participant Charges'!B34)</f>
        <v>6</v>
      </c>
      <c r="D34" s="11">
        <f t="shared" si="2"/>
        <v>0.14285714285714285</v>
      </c>
      <c r="E34" s="17"/>
    </row>
    <row r="35" spans="2:10" ht="19.5" thickBot="1" x14ac:dyDescent="0.35">
      <c r="B35" s="8"/>
      <c r="C35" s="13">
        <f>SUM(C28:C34)</f>
        <v>42</v>
      </c>
    </row>
    <row r="36" spans="2:10" ht="19.5" thickTop="1" x14ac:dyDescent="0.3">
      <c r="B36" s="8"/>
    </row>
    <row r="37" spans="2:10" x14ac:dyDescent="0.3">
      <c r="B37" s="8"/>
    </row>
    <row r="38" spans="2:10" x14ac:dyDescent="0.3">
      <c r="B38" s="8"/>
    </row>
    <row r="39" spans="2:10" x14ac:dyDescent="0.3">
      <c r="B39" s="8"/>
    </row>
    <row r="40" spans="2:10" x14ac:dyDescent="0.3">
      <c r="B40" s="8"/>
    </row>
    <row r="41" spans="2:10" x14ac:dyDescent="0.3">
      <c r="B41" s="8"/>
    </row>
    <row r="42" spans="2:10" x14ac:dyDescent="0.3">
      <c r="B42" s="8"/>
    </row>
    <row r="43" spans="2:10" x14ac:dyDescent="0.3">
      <c r="B43" s="8"/>
    </row>
    <row r="44" spans="2:10" x14ac:dyDescent="0.3">
      <c r="B44" s="8"/>
    </row>
    <row r="45" spans="2:10" x14ac:dyDescent="0.3">
      <c r="B45" s="8"/>
    </row>
    <row r="46" spans="2:10" x14ac:dyDescent="0.3">
      <c r="B46" s="8"/>
    </row>
    <row r="47" spans="2:10" x14ac:dyDescent="0.3">
      <c r="B47" s="18" t="s">
        <v>94</v>
      </c>
      <c r="C47" s="18" t="s">
        <v>55</v>
      </c>
      <c r="D47" s="38" t="s">
        <v>23</v>
      </c>
      <c r="E47" s="18" t="s">
        <v>29</v>
      </c>
      <c r="F47" s="18" t="s">
        <v>24</v>
      </c>
      <c r="G47" s="18" t="s">
        <v>25</v>
      </c>
      <c r="H47" s="18" t="s">
        <v>26</v>
      </c>
      <c r="I47" s="18" t="s">
        <v>27</v>
      </c>
      <c r="J47" s="18" t="s">
        <v>28</v>
      </c>
    </row>
    <row r="48" spans="2:10" x14ac:dyDescent="0.3">
      <c r="B48" s="16" t="s">
        <v>13</v>
      </c>
      <c r="C48" s="16">
        <f>COUNTIFS('Participant Data'!J:J,"yes",'Participant Data'!H:H,'Participant Charges'!B48)</f>
        <v>0</v>
      </c>
      <c r="D48" s="37">
        <f>IFERROR(COUNTIFS('Participant Data'!$J:$J,"yes",'Participant Data'!$H:$H,'Participant Charges'!$B$48,'Participant Data'!$I:$I,D47)/$C$48,0)</f>
        <v>0</v>
      </c>
      <c r="E48" s="26">
        <f>IFERROR(COUNTIFS('Participant Data'!$J:$J,"yes",'Participant Data'!$H:$H,'Participant Charges'!$B$48,'Participant Data'!$I:$I,E47)/$C$48,0)</f>
        <v>0</v>
      </c>
      <c r="F48" s="26">
        <f>IFERROR(COUNTIFS('Participant Data'!$J:$J,"yes",'Participant Data'!$H:$H,'Participant Charges'!$B$48,'Participant Data'!$I:$I,F47)/$C$48,0)</f>
        <v>0</v>
      </c>
      <c r="G48" s="26">
        <f>IFERROR(COUNTIFS('Participant Data'!$J:$J,"yes",'Participant Data'!$H:$H,'Participant Charges'!$B$48,'Participant Data'!$I:$I,G47)/$C$48,0)</f>
        <v>0</v>
      </c>
      <c r="H48" s="26">
        <f>IFERROR(COUNTIFS('Participant Data'!$J:$J,"yes",'Participant Data'!$H:$H,'Participant Charges'!$B$48,'Participant Data'!$I:$I,H47)/$C$48,0)</f>
        <v>0</v>
      </c>
      <c r="I48" s="26">
        <f>IFERROR(COUNTIFS('Participant Data'!$J:$J,"yes",'Participant Data'!$H:$H,'Participant Charges'!$B$48,'Participant Data'!$I:$I,I47)/$C$48,0)</f>
        <v>0</v>
      </c>
      <c r="J48" s="26">
        <f>IFERROR(COUNTIFS('Participant Data'!$J:$J,"yes",'Participant Data'!$H:$H,'Participant Charges'!$B$48,'Participant Data'!$I:$I,J47)/$C$48,0)</f>
        <v>0</v>
      </c>
    </row>
    <row r="49" spans="2:10" x14ac:dyDescent="0.3">
      <c r="B49" s="16" t="s">
        <v>14</v>
      </c>
      <c r="C49" s="16">
        <f>COUNTIFS('Participant Data'!J:J,"yes",'Participant Data'!H:H,'Participant Charges'!B49)</f>
        <v>18</v>
      </c>
      <c r="D49" s="37">
        <f>IFERROR(COUNTIFS('Participant Data'!$J:$J,"yes",'Participant Data'!$H:$H,$B$49,'Participant Data'!$I:$I,D47)/$C$49,0)</f>
        <v>0</v>
      </c>
      <c r="E49" s="26">
        <f>IFERROR(COUNTIFS('Participant Data'!$J:$J,"yes",'Participant Data'!$H:$H,$B$49,'Participant Data'!$I:$I,E47)/$C$49,0)</f>
        <v>0</v>
      </c>
      <c r="F49" s="26">
        <f>IFERROR(COUNTIFS('Participant Data'!$J:$J,"yes",'Participant Data'!$H:$H,$B$49,'Participant Data'!$I:$I,F47)/$C$49,0)</f>
        <v>0</v>
      </c>
      <c r="G49" s="26">
        <f>IFERROR(COUNTIFS('Participant Data'!$J:$J,"yes",'Participant Data'!$H:$H,$B$49,'Participant Data'!$I:$I,G47)/$C$49,0)</f>
        <v>0</v>
      </c>
      <c r="H49" s="26">
        <f>IFERROR(COUNTIFS('Participant Data'!$J:$J,"yes",'Participant Data'!$H:$H,$B$49,'Participant Data'!$I:$I,H47)/$C$49,0)</f>
        <v>0.22222222222222221</v>
      </c>
      <c r="I49" s="26">
        <f>IFERROR(COUNTIFS('Participant Data'!$J:$J,"yes",'Participant Data'!$H:$H,$B$49,'Participant Data'!$I:$I,I47)/$C$49,0)</f>
        <v>0</v>
      </c>
      <c r="J49" s="26">
        <f>IFERROR(COUNTIFS('Participant Data'!$J:$J,"yes",'Participant Data'!$H:$H,$B$49,'Participant Data'!$I:$I,J47)/$C$49,0)</f>
        <v>0.33333333333333331</v>
      </c>
    </row>
    <row r="50" spans="2:10" x14ac:dyDescent="0.3">
      <c r="B50" s="16" t="s">
        <v>15</v>
      </c>
      <c r="C50" s="16">
        <f>COUNTIFS('Participant Data'!J:J,"yes",'Participant Data'!H:H,'Participant Charges'!B50)</f>
        <v>14</v>
      </c>
      <c r="D50" s="37">
        <f>IFERROR(COUNTIFS('Participant Data'!$J:$J,"yes",'Participant Data'!$H:$H,$B$50,'Participant Data'!$I:$I,D$47)/$C$50,0)</f>
        <v>0</v>
      </c>
      <c r="E50" s="26">
        <f>IFERROR(COUNTIFS('Participant Data'!$J:$J,"yes",'Participant Data'!$H:$H,$B$50,'Participant Data'!$I:$I,E$47)/$C$50,0)</f>
        <v>0</v>
      </c>
      <c r="F50" s="26">
        <f>IFERROR(COUNTIFS('Participant Data'!$J:$J,"yes",'Participant Data'!$H:$H,$B$50,'Participant Data'!$I:$I,F$47)/$C$50,0)</f>
        <v>0</v>
      </c>
      <c r="G50" s="26">
        <f>IFERROR(COUNTIFS('Participant Data'!$J:$J,"yes",'Participant Data'!$H:$H,$B$50,'Participant Data'!$I:$I,G$47)/$C$50,0)</f>
        <v>0.5714285714285714</v>
      </c>
      <c r="H50" s="26">
        <f>IFERROR(COUNTIFS('Participant Data'!$J:$J,"yes",'Participant Data'!$H:$H,$B$50,'Participant Data'!$I:$I,H$47)/$C$50,0)</f>
        <v>0</v>
      </c>
      <c r="I50" s="26">
        <f>IFERROR(COUNTIFS('Participant Data'!$J:$J,"yes",'Participant Data'!$H:$H,$B$50,'Participant Data'!$I:$I,I$47)/$C$50,0)</f>
        <v>0.42857142857142855</v>
      </c>
      <c r="J50" s="26">
        <f>IFERROR(COUNTIFS('Participant Data'!$J:$J,"yes",'Participant Data'!$H:$H,$B$50,'Participant Data'!$I:$I,J$47)/$C$50,0)</f>
        <v>0</v>
      </c>
    </row>
    <row r="51" spans="2:10" x14ac:dyDescent="0.3">
      <c r="B51" s="16" t="s">
        <v>16</v>
      </c>
      <c r="C51" s="16">
        <f>COUNTIFS('Participant Data'!J:J,"yes",'Participant Data'!H:H,'Participant Charges'!B51)</f>
        <v>2</v>
      </c>
      <c r="D51" s="37">
        <f>IFERROR(COUNTIFS('Participant Data'!$J:$J,"yes",'Participant Data'!$H:$H,$B$51,'Participant Data'!$I:$I,D$47)/$C$51,0)</f>
        <v>0</v>
      </c>
      <c r="E51" s="26">
        <f>IFERROR(COUNTIFS('Participant Data'!$J:$J,"yes",'Participant Data'!$H:$H,$B$51,'Participant Data'!$I:$I,E$47)/$C$51,0)</f>
        <v>0</v>
      </c>
      <c r="F51" s="26">
        <f>IFERROR(COUNTIFS('Participant Data'!$J:$J,"yes",'Participant Data'!$H:$H,$B$51,'Participant Data'!$I:$I,F$47)/$C$51,0)</f>
        <v>0</v>
      </c>
      <c r="G51" s="26">
        <f>IFERROR(COUNTIFS('Participant Data'!$J:$J,"yes",'Participant Data'!$H:$H,$B$51,'Participant Data'!$I:$I,G$47)/$C$51,0)</f>
        <v>0</v>
      </c>
      <c r="H51" s="26">
        <f>IFERROR(COUNTIFS('Participant Data'!$J:$J,"yes",'Participant Data'!$H:$H,$B$51,'Participant Data'!$I:$I,H$47)/$C$51,0)</f>
        <v>0</v>
      </c>
      <c r="I51" s="26">
        <f>IFERROR(COUNTIFS('Participant Data'!$J:$J,"yes",'Participant Data'!$H:$H,$B$51,'Participant Data'!$I:$I,I$47)/$C$51,0)</f>
        <v>1</v>
      </c>
      <c r="J51" s="26">
        <f>IFERROR(COUNTIFS('Participant Data'!$J:$J,"yes",'Participant Data'!$H:$H,$B$51,'Participant Data'!$I:$I,J$47)/$C$51,0)</f>
        <v>0</v>
      </c>
    </row>
    <row r="52" spans="2:10" x14ac:dyDescent="0.3">
      <c r="B52" s="10" t="s">
        <v>17</v>
      </c>
      <c r="C52" s="16">
        <f>COUNTIFS('Participant Data'!J:J,"yes",'Participant Data'!H:H,'Participant Charges'!B52)</f>
        <v>8</v>
      </c>
      <c r="D52" s="37">
        <f>IFERROR(COUNTIFS('Participant Data'!$J:$J,"yes",'Participant Data'!$H:$H,$B$52,'Participant Data'!$I:$I,D$47)/$C$52,0)</f>
        <v>0.25</v>
      </c>
      <c r="E52" s="26">
        <f>IFERROR(COUNTIFS('Participant Data'!$J:$J,"yes",'Participant Data'!$H:$H,$B$52,'Participant Data'!$I:$I,E$47)/$C$52,0)</f>
        <v>0.75</v>
      </c>
      <c r="F52" s="26">
        <f>IFERROR(COUNTIFS('Participant Data'!$J:$J,"yes",'Participant Data'!$H:$H,$B$52,'Participant Data'!$I:$I,F$47)/$C$52,0)</f>
        <v>0</v>
      </c>
      <c r="G52" s="26">
        <f>IFERROR(COUNTIFS('Participant Data'!$J:$J,"yes",'Participant Data'!$H:$H,$B$52,'Participant Data'!$I:$I,G$47)/$C$52,0)</f>
        <v>0</v>
      </c>
      <c r="H52" s="26">
        <f>IFERROR(COUNTIFS('Participant Data'!$J:$J,"yes",'Participant Data'!$H:$H,$B$52,'Participant Data'!$I:$I,H$47)/$C$52,0)</f>
        <v>0</v>
      </c>
      <c r="I52" s="26">
        <f>IFERROR(COUNTIFS('Participant Data'!$J:$J,"yes",'Participant Data'!$H:$H,$B$52,'Participant Data'!$I:$I,I$47)/$C$52,0)</f>
        <v>0</v>
      </c>
      <c r="J52" s="26">
        <f>IFERROR(COUNTIFS('Participant Data'!$J:$J,"yes",'Participant Data'!$H:$H,$B$52,'Participant Data'!$I:$I,J$47)/$C$52,0)</f>
        <v>0</v>
      </c>
    </row>
    <row r="53" spans="2:10" x14ac:dyDescent="0.3">
      <c r="B53" s="16" t="s">
        <v>18</v>
      </c>
      <c r="C53" s="16">
        <f>COUNTIFS('Participant Data'!J:J,"yes",'Participant Data'!H:H,'Participant Charges'!B53)</f>
        <v>0</v>
      </c>
      <c r="D53" s="37">
        <f>IFERROR(COUNTIFS('Participant Data'!$J:$J,"yes",'Participant Data'!$H:$H,$B$53,'Participant Data'!$I:$I,D$47)/$C$53,0)</f>
        <v>0</v>
      </c>
      <c r="E53" s="26">
        <f>IFERROR(COUNTIFS('Participant Data'!$J:$J,"yes",'Participant Data'!$H:$H,$B$53,'Participant Data'!$I:$I,E$47)/$C$53,0)</f>
        <v>0</v>
      </c>
      <c r="F53" s="26">
        <f>IFERROR(COUNTIFS('Participant Data'!$J:$J,"yes",'Participant Data'!$H:$H,$B$53,'Participant Data'!$I:$I,F$47)/$C$53,0)</f>
        <v>0</v>
      </c>
      <c r="G53" s="26">
        <f>IFERROR(COUNTIFS('Participant Data'!$J:$J,"yes",'Participant Data'!$H:$H,$B$53,'Participant Data'!$I:$I,G$47)/$C$53,0)</f>
        <v>0</v>
      </c>
      <c r="H53" s="26">
        <f>IFERROR(COUNTIFS('Participant Data'!$J:$J,"yes",'Participant Data'!$H:$H,$B$53,'Participant Data'!$I:$I,H$47)/$C$53,0)</f>
        <v>0</v>
      </c>
      <c r="I53" s="26">
        <f>IFERROR(COUNTIFS('Participant Data'!$J:$J,"yes",'Participant Data'!$H:$H,$B$53,'Participant Data'!$I:$I,I$47)/$C$53,0)</f>
        <v>0</v>
      </c>
      <c r="J53" s="26">
        <f>IFERROR(COUNTIFS('Participant Data'!$J:$J,"yes",'Participant Data'!$H:$H,$B$53,'Participant Data'!$I:$I,J$47)/$C$53,0)</f>
        <v>0</v>
      </c>
    </row>
    <row r="54" spans="2:10" x14ac:dyDescent="0.3">
      <c r="B54" s="16" t="s">
        <v>19</v>
      </c>
      <c r="C54" s="16">
        <f>COUNTIFS('Participant Data'!J:J,"yes",'Participant Data'!H:H,'Participant Charges'!B54)</f>
        <v>0</v>
      </c>
      <c r="D54" s="37">
        <f>IFERROR(COUNTIFS('Participant Data'!$J:$J,"yes",'Participant Data'!$H:$H,$B$54,'Participant Data'!$I:$I,D$47)/$C$54,0)</f>
        <v>0</v>
      </c>
      <c r="E54" s="26">
        <f>IFERROR(COUNTIFS('Participant Data'!$J:$J,"yes",'Participant Data'!$H:$H,$B$54,'Participant Data'!$I:$I,E$47)/$C$54,0)</f>
        <v>0</v>
      </c>
      <c r="F54" s="26">
        <f>IFERROR(COUNTIFS('Participant Data'!$J:$J,"yes",'Participant Data'!$H:$H,$B$54,'Participant Data'!$I:$I,F$47)/$C$54,0)</f>
        <v>0</v>
      </c>
      <c r="G54" s="26">
        <f>IFERROR(COUNTIFS('Participant Data'!$J:$J,"yes",'Participant Data'!$H:$H,$B$54,'Participant Data'!$I:$I,G$47)/$C$54,0)</f>
        <v>0</v>
      </c>
      <c r="H54" s="26">
        <f>IFERROR(COUNTIFS('Participant Data'!$J:$J,"yes",'Participant Data'!$H:$H,$B$54,'Participant Data'!$I:$I,H$47)/$C$54,0)</f>
        <v>0</v>
      </c>
      <c r="I54" s="26">
        <f>IFERROR(COUNTIFS('Participant Data'!$J:$J,"yes",'Participant Data'!$H:$H,$B$54,'Participant Data'!$I:$I,I$47)/$C$54,0)</f>
        <v>0</v>
      </c>
      <c r="J54" s="26">
        <f>IFERROR(COUNTIFS('Participant Data'!$J:$J,"yes",'Participant Data'!$H:$H,$B$54,'Participant Data'!$I:$I,J$47)/$C$54,0)</f>
        <v>0</v>
      </c>
    </row>
    <row r="55" spans="2:10" x14ac:dyDescent="0.3">
      <c r="B55" s="16" t="s">
        <v>20</v>
      </c>
      <c r="C55" s="16">
        <f>COUNTIFS('Participant Data'!J:J,"yes",'Participant Data'!H:H,'Participant Charges'!B55)</f>
        <v>0</v>
      </c>
      <c r="D55" s="37">
        <f>IFERROR(COUNTIFS('Participant Data'!$J:$J,"yes",'Participant Data'!$H:$H,$B$55,'Participant Data'!$I:$I,D$47)/$C$55,0)</f>
        <v>0</v>
      </c>
      <c r="E55" s="26">
        <f>IFERROR(COUNTIFS('Participant Data'!$J:$J,"yes",'Participant Data'!$H:$H,$B$55,'Participant Data'!$I:$I,E$47)/$C$55,0)</f>
        <v>0</v>
      </c>
      <c r="F55" s="26">
        <f>IFERROR(COUNTIFS('Participant Data'!$J:$J,"yes",'Participant Data'!$H:$H,$B$55,'Participant Data'!$I:$I,F$47)/$C$55,0)</f>
        <v>0</v>
      </c>
      <c r="G55" s="26">
        <f>IFERROR(COUNTIFS('Participant Data'!$J:$J,"yes",'Participant Data'!$H:$H,$B$55,'Participant Data'!$I:$I,G$47)/$C$55,0)</f>
        <v>0</v>
      </c>
      <c r="H55" s="26">
        <f>IFERROR(COUNTIFS('Participant Data'!$J:$J,"yes",'Participant Data'!$H:$H,$B$55,'Participant Data'!$I:$I,H$47)/$C$55,0)</f>
        <v>0</v>
      </c>
      <c r="I55" s="26">
        <f>IFERROR(COUNTIFS('Participant Data'!$J:$J,"yes",'Participant Data'!$H:$H,$B$55,'Participant Data'!$I:$I,I$47)/$C$55,0)</f>
        <v>0</v>
      </c>
      <c r="J55" s="26">
        <f>IFERROR(COUNTIFS('Participant Data'!$J:$J,"yes",'Participant Data'!$H:$H,$B$55,'Participant Data'!$I:$I,J$47)/$C$55,0)</f>
        <v>0</v>
      </c>
    </row>
    <row r="56" spans="2:10" x14ac:dyDescent="0.3">
      <c r="B56" s="16" t="s">
        <v>21</v>
      </c>
      <c r="C56" s="16">
        <f>COUNTIFS('Participant Data'!J:J,"yes",'Participant Data'!H:H,'Participant Charges'!B56)</f>
        <v>0</v>
      </c>
      <c r="D56" s="37">
        <f>IFERROR(COUNTIFS('Participant Data'!$J:$J,"yes",'Participant Data'!$H:$H,$B$56,'Participant Data'!$I:$I,D$47)/$C$56,0)</f>
        <v>0</v>
      </c>
      <c r="E56" s="26">
        <f>IFERROR(COUNTIFS('Participant Data'!$J:$J,"yes",'Participant Data'!$H:$H,$B$56,'Participant Data'!$I:$I,E$47)/$C$56,0)</f>
        <v>0</v>
      </c>
      <c r="F56" s="26">
        <f>IFERROR(COUNTIFS('Participant Data'!$J:$J,"yes",'Participant Data'!$H:$H,$B$56,'Participant Data'!$I:$I,F$47)/$C$56,0)</f>
        <v>0</v>
      </c>
      <c r="G56" s="26">
        <f>IFERROR(COUNTIFS('Participant Data'!$J:$J,"yes",'Participant Data'!$H:$H,$B$56,'Participant Data'!$I:$I,G$47)/$C$56,0)</f>
        <v>0</v>
      </c>
      <c r="H56" s="26">
        <f>IFERROR(COUNTIFS('Participant Data'!$J:$J,"yes",'Participant Data'!$H:$H,$B$56,'Participant Data'!$I:$I,H$47)/$C$56,0)</f>
        <v>0</v>
      </c>
      <c r="I56" s="26">
        <f>IFERROR(COUNTIFS('Participant Data'!$J:$J,"yes",'Participant Data'!$H:$H,$B$56,'Participant Data'!$I:$I,I$47)/$C$56,0)</f>
        <v>0</v>
      </c>
      <c r="J56" s="26">
        <f>IFERROR(COUNTIFS('Participant Data'!$J:$J,"yes",'Participant Data'!$H:$H,$B$56,'Participant Data'!$I:$I,J$47)/$C$56,0)</f>
        <v>0</v>
      </c>
    </row>
    <row r="57" spans="2:10" x14ac:dyDescent="0.3">
      <c r="B57" s="16" t="s">
        <v>22</v>
      </c>
      <c r="C57" s="16">
        <f>COUNTIFS('Participant Data'!J:J,"yes",'Participant Data'!H:H,'Participant Charges'!B57)</f>
        <v>0</v>
      </c>
      <c r="D57" s="37">
        <f>IFERROR(COUNTIFS('Participant Data'!$J:$J,"yes",'Participant Data'!$H:$H,$B$57,'Participant Data'!$I:$I,D$47)/$C$57,0)</f>
        <v>0</v>
      </c>
      <c r="E57" s="26">
        <f>IFERROR(COUNTIFS('Participant Data'!$J:$J,"yes",'Participant Data'!$H:$H,$B$57,'Participant Data'!$I:$I,E$47)/$C$57,0)</f>
        <v>0</v>
      </c>
      <c r="F57" s="26">
        <f>IFERROR(COUNTIFS('Participant Data'!$J:$J,"yes",'Participant Data'!$H:$H,$B$57,'Participant Data'!$I:$I,F$47)/$C$57,0)</f>
        <v>0</v>
      </c>
      <c r="G57" s="26">
        <f>IFERROR(COUNTIFS('Participant Data'!$J:$J,"yes",'Participant Data'!$H:$H,$B$57,'Participant Data'!$I:$I,G$47)/$C$57,0)</f>
        <v>0</v>
      </c>
      <c r="H57" s="26">
        <f>IFERROR(COUNTIFS('Participant Data'!$J:$J,"yes",'Participant Data'!$H:$H,$B$57,'Participant Data'!$I:$I,H$47)/$C$57,0)</f>
        <v>0</v>
      </c>
      <c r="I57" s="26">
        <f>IFERROR(COUNTIFS('Participant Data'!$J:$J,"yes",'Participant Data'!$H:$H,$B$57,'Participant Data'!$I:$I,I$47)/$C$57,0)</f>
        <v>0</v>
      </c>
      <c r="J57" s="26">
        <f>IFERROR(COUNTIFS('Participant Data'!$J:$J,"yes",'Participant Data'!$H:$H,$B$57,'Participant Data'!$I:$I,J$47)/$C$57,0)</f>
        <v>0</v>
      </c>
    </row>
    <row r="58" spans="2:10" ht="19.5" thickBot="1" x14ac:dyDescent="0.35">
      <c r="C58" s="13">
        <f>SUM(C48:C57)</f>
        <v>42</v>
      </c>
    </row>
    <row r="59" spans="2:10" ht="19.5" thickTop="1" x14ac:dyDescent="0.3"/>
    <row r="62" spans="2:10" x14ac:dyDescent="0.3">
      <c r="B62" s="18" t="s">
        <v>94</v>
      </c>
      <c r="C62" s="38" t="s">
        <v>23</v>
      </c>
      <c r="D62" s="18" t="s">
        <v>29</v>
      </c>
      <c r="E62" s="18" t="s">
        <v>24</v>
      </c>
      <c r="F62" s="18" t="s">
        <v>25</v>
      </c>
      <c r="G62" s="18" t="s">
        <v>26</v>
      </c>
      <c r="H62" s="18" t="s">
        <v>27</v>
      </c>
      <c r="I62" s="18" t="s">
        <v>28</v>
      </c>
      <c r="J62" s="33" t="s">
        <v>65</v>
      </c>
    </row>
    <row r="63" spans="2:10" x14ac:dyDescent="0.3">
      <c r="B63" s="16" t="s">
        <v>13</v>
      </c>
      <c r="C63" s="39">
        <f>IFERROR(COUNTIFS('Participant Data'!$J:$J,"yes",'Participant Data'!$H:$H,'Participant Charges'!$B$48,'Participant Data'!$I:$I,C62),0)</f>
        <v>0</v>
      </c>
      <c r="D63" s="40">
        <f>IFERROR(COUNTIFS('Participant Data'!$J:$J,"yes",'Participant Data'!$H:$H,'Participant Charges'!$B$48,'Participant Data'!$I:$I,D62),0)</f>
        <v>0</v>
      </c>
      <c r="E63" s="40">
        <f>IFERROR(COUNTIFS('Participant Data'!$J:$J,"yes",'Participant Data'!$H:$H,'Participant Charges'!$B$48,'Participant Data'!$I:$I,E62),0)</f>
        <v>0</v>
      </c>
      <c r="F63" s="40">
        <f>IFERROR(COUNTIFS('Participant Data'!$J:$J,"yes",'Participant Data'!$H:$H,'Participant Charges'!$B$48,'Participant Data'!$I:$I,F62),0)</f>
        <v>0</v>
      </c>
      <c r="G63" s="40">
        <f>IFERROR(COUNTIFS('Participant Data'!$J:$J,"yes",'Participant Data'!$H:$H,'Participant Charges'!$B$48,'Participant Data'!$I:$I,G62),0)</f>
        <v>0</v>
      </c>
      <c r="H63" s="40">
        <f>IFERROR(COUNTIFS('Participant Data'!$J:$J,"yes",'Participant Data'!$H:$H,'Participant Charges'!$B$48,'Participant Data'!$I:$I,H62),0)</f>
        <v>0</v>
      </c>
      <c r="I63" s="40">
        <f>IFERROR(COUNTIFS('Participant Data'!$J:$J,"yes",'Participant Data'!$H:$H,'Participant Charges'!$B$48,'Participant Data'!$I:$I,I62),0)</f>
        <v>0</v>
      </c>
      <c r="J63" s="41">
        <f>COUNTIFS('Participant Data'!J:J,"yes",'Participant Data'!H:H,'Participant Charges'!B63)</f>
        <v>0</v>
      </c>
    </row>
    <row r="64" spans="2:10" x14ac:dyDescent="0.3">
      <c r="B64" s="16" t="s">
        <v>14</v>
      </c>
      <c r="C64" s="39">
        <f>IFERROR(COUNTIFS('Participant Data'!$J:$J,"yes",'Participant Data'!$H:$H,$B$49,'Participant Data'!$I:$I,C62),0)</f>
        <v>0</v>
      </c>
      <c r="D64" s="40">
        <f>IFERROR(COUNTIFS('Participant Data'!$J:$J,"yes",'Participant Data'!$H:$H,$B$49,'Participant Data'!$I:$I,D62),0)</f>
        <v>0</v>
      </c>
      <c r="E64" s="40">
        <f>IFERROR(COUNTIFS('Participant Data'!$J:$J,"yes",'Participant Data'!$H:$H,$B$49,'Participant Data'!$I:$I,E62),0)</f>
        <v>0</v>
      </c>
      <c r="F64" s="40">
        <f>IFERROR(COUNTIFS('Participant Data'!$J:$J,"yes",'Participant Data'!$H:$H,$B$49,'Participant Data'!$I:$I,F62),0)</f>
        <v>0</v>
      </c>
      <c r="G64" s="40">
        <f>IFERROR(COUNTIFS('Participant Data'!$J:$J,"yes",'Participant Data'!$H:$H,$B$49,'Participant Data'!$I:$I,G62),0)</f>
        <v>4</v>
      </c>
      <c r="H64" s="40">
        <f>IFERROR(COUNTIFS('Participant Data'!$J:$J,"yes",'Participant Data'!$H:$H,$B$49,'Participant Data'!$I:$I,H62),0)</f>
        <v>0</v>
      </c>
      <c r="I64" s="40">
        <f>IFERROR(COUNTIFS('Participant Data'!$J:$J,"yes",'Participant Data'!$H:$H,$B$49,'Participant Data'!$I:$I,I62),0)</f>
        <v>6</v>
      </c>
      <c r="J64" s="41">
        <f>COUNTIFS('Participant Data'!J:J,"yes",'Participant Data'!H:H,'Participant Charges'!B64)</f>
        <v>18</v>
      </c>
    </row>
    <row r="65" spans="2:10" x14ac:dyDescent="0.3">
      <c r="B65" s="16" t="s">
        <v>15</v>
      </c>
      <c r="C65" s="39">
        <f>IFERROR(COUNTIFS('Participant Data'!$J:$J,"yes",'Participant Data'!$H:$H,$B$50,'Participant Data'!$I:$I,D$47),0)</f>
        <v>0</v>
      </c>
      <c r="D65" s="40">
        <f>IFERROR(COUNTIFS('Participant Data'!$J:$J,"yes",'Participant Data'!$H:$H,$B$50,'Participant Data'!$I:$I,E$47),0)</f>
        <v>0</v>
      </c>
      <c r="E65" s="40">
        <f>IFERROR(COUNTIFS('Participant Data'!$J:$J,"yes",'Participant Data'!$H:$H,$B$50,'Participant Data'!$I:$I,F$47),0)</f>
        <v>0</v>
      </c>
      <c r="F65" s="40">
        <f>IFERROR(COUNTIFS('Participant Data'!$J:$J,"yes",'Participant Data'!$H:$H,$B$50,'Participant Data'!$I:$I,G$47),0)</f>
        <v>8</v>
      </c>
      <c r="G65" s="40">
        <f>IFERROR(COUNTIFS('Participant Data'!$J:$J,"yes",'Participant Data'!$H:$H,$B$50,'Participant Data'!$I:$I,H$47),0)</f>
        <v>0</v>
      </c>
      <c r="H65" s="40">
        <f>IFERROR(COUNTIFS('Participant Data'!$J:$J,"yes",'Participant Data'!$H:$H,$B$50,'Participant Data'!$I:$I,I$47),0)</f>
        <v>6</v>
      </c>
      <c r="I65" s="40">
        <f>IFERROR(COUNTIFS('Participant Data'!$J:$J,"yes",'Participant Data'!$H:$H,$B$50,'Participant Data'!$I:$I,J$47),0)</f>
        <v>0</v>
      </c>
      <c r="J65" s="41">
        <f>COUNTIFS('Participant Data'!J:J,"yes",'Participant Data'!H:H,'Participant Charges'!B65)</f>
        <v>14</v>
      </c>
    </row>
    <row r="66" spans="2:10" x14ac:dyDescent="0.3">
      <c r="B66" s="16" t="s">
        <v>16</v>
      </c>
      <c r="C66" s="39">
        <f>IFERROR(COUNTIFS('Participant Data'!$J:$J,"yes",'Participant Data'!$H:$H,$B$51,'Participant Data'!$I:$I,D$47),0)</f>
        <v>0</v>
      </c>
      <c r="D66" s="40">
        <f>IFERROR(COUNTIFS('Participant Data'!$J:$J,"yes",'Participant Data'!$H:$H,$B$51,'Participant Data'!$I:$I,E$47),0)</f>
        <v>0</v>
      </c>
      <c r="E66" s="40">
        <f>IFERROR(COUNTIFS('Participant Data'!$J:$J,"yes",'Participant Data'!$H:$H,$B$51,'Participant Data'!$I:$I,F$47),0)</f>
        <v>0</v>
      </c>
      <c r="F66" s="40">
        <f>IFERROR(COUNTIFS('Participant Data'!$J:$J,"yes",'Participant Data'!$H:$H,$B$51,'Participant Data'!$I:$I,G$47),0)</f>
        <v>0</v>
      </c>
      <c r="G66" s="40">
        <f>IFERROR(COUNTIFS('Participant Data'!$J:$J,"yes",'Participant Data'!$H:$H,$B$51,'Participant Data'!$I:$I,H$47),0)</f>
        <v>0</v>
      </c>
      <c r="H66" s="40">
        <f>IFERROR(COUNTIFS('Participant Data'!$J:$J,"yes",'Participant Data'!$H:$H,$B$51,'Participant Data'!$I:$I,I$47),0)</f>
        <v>2</v>
      </c>
      <c r="I66" s="40">
        <f>IFERROR(COUNTIFS('Participant Data'!$J:$J,"yes",'Participant Data'!$H:$H,$B$51,'Participant Data'!$I:$I,J$47),0)</f>
        <v>0</v>
      </c>
      <c r="J66" s="41">
        <f>COUNTIFS('Participant Data'!J:J,"yes",'Participant Data'!H:H,'Participant Charges'!B66)</f>
        <v>2</v>
      </c>
    </row>
    <row r="67" spans="2:10" x14ac:dyDescent="0.3">
      <c r="B67" s="10" t="s">
        <v>17</v>
      </c>
      <c r="C67" s="39">
        <f>IFERROR(COUNTIFS('Participant Data'!$J:$J,"yes",'Participant Data'!$H:$H,$B$52,'Participant Data'!$I:$I,D$47),0)</f>
        <v>2</v>
      </c>
      <c r="D67" s="40">
        <f>IFERROR(COUNTIFS('Participant Data'!$J:$J,"yes",'Participant Data'!$H:$H,$B$52,'Participant Data'!$I:$I,E$47),0)</f>
        <v>6</v>
      </c>
      <c r="E67" s="40">
        <f>IFERROR(COUNTIFS('Participant Data'!$J:$J,"yes",'Participant Data'!$H:$H,$B$52,'Participant Data'!$I:$I,F$47),0)</f>
        <v>0</v>
      </c>
      <c r="F67" s="40">
        <f>IFERROR(COUNTIFS('Participant Data'!$J:$J,"yes",'Participant Data'!$H:$H,$B$52,'Participant Data'!$I:$I,G$47),0)</f>
        <v>0</v>
      </c>
      <c r="G67" s="40">
        <f>IFERROR(COUNTIFS('Participant Data'!$J:$J,"yes",'Participant Data'!$H:$H,$B$52,'Participant Data'!$I:$I,H$47),0)</f>
        <v>0</v>
      </c>
      <c r="H67" s="40">
        <f>IFERROR(COUNTIFS('Participant Data'!$J:$J,"yes",'Participant Data'!$H:$H,$B$52,'Participant Data'!$I:$I,I$47),0)</f>
        <v>0</v>
      </c>
      <c r="I67" s="40">
        <f>IFERROR(COUNTIFS('Participant Data'!$J:$J,"yes",'Participant Data'!$H:$H,$B$52,'Participant Data'!$I:$I,J$47),0)</f>
        <v>0</v>
      </c>
      <c r="J67" s="41">
        <f>COUNTIFS('Participant Data'!J:J,"yes",'Participant Data'!H:H,'Participant Charges'!B67)</f>
        <v>8</v>
      </c>
    </row>
    <row r="68" spans="2:10" x14ac:dyDescent="0.3">
      <c r="B68" s="16" t="s">
        <v>18</v>
      </c>
      <c r="C68" s="39">
        <f>IFERROR(COUNTIFS('Participant Data'!$J:$J,"yes",'Participant Data'!$H:$H,$B$53,'Participant Data'!$I:$I,D$47),0)</f>
        <v>0</v>
      </c>
      <c r="D68" s="40">
        <f>IFERROR(COUNTIFS('Participant Data'!$J:$J,"yes",'Participant Data'!$H:$H,$B$53,'Participant Data'!$I:$I,E$47),0)</f>
        <v>0</v>
      </c>
      <c r="E68" s="40">
        <f>IFERROR(COUNTIFS('Participant Data'!$J:$J,"yes",'Participant Data'!$H:$H,$B$53,'Participant Data'!$I:$I,F$47),0)</f>
        <v>0</v>
      </c>
      <c r="F68" s="40">
        <f>IFERROR(COUNTIFS('Participant Data'!$J:$J,"yes",'Participant Data'!$H:$H,$B$53,'Participant Data'!$I:$I,G$47),0)</f>
        <v>0</v>
      </c>
      <c r="G68" s="40">
        <f>IFERROR(COUNTIFS('Participant Data'!$J:$J,"yes",'Participant Data'!$H:$H,$B$53,'Participant Data'!$I:$I,H$47),0)</f>
        <v>0</v>
      </c>
      <c r="H68" s="40">
        <f>IFERROR(COUNTIFS('Participant Data'!$J:$J,"yes",'Participant Data'!$H:$H,$B$53,'Participant Data'!$I:$I,I$47),0)</f>
        <v>0</v>
      </c>
      <c r="I68" s="40">
        <f>IFERROR(COUNTIFS('Participant Data'!$J:$J,"yes",'Participant Data'!$H:$H,$B$53,'Participant Data'!$I:$I,J$47),0)</f>
        <v>0</v>
      </c>
      <c r="J68" s="41">
        <f>COUNTIFS('Participant Data'!J:J,"yes",'Participant Data'!H:H,'Participant Charges'!B68)</f>
        <v>0</v>
      </c>
    </row>
    <row r="69" spans="2:10" x14ac:dyDescent="0.3">
      <c r="B69" s="16" t="s">
        <v>19</v>
      </c>
      <c r="C69" s="39">
        <f>IFERROR(COUNTIFS('Participant Data'!$J:$J,"yes",'Participant Data'!$H:$H,$B$54,'Participant Data'!$I:$I,D$47),0)</f>
        <v>0</v>
      </c>
      <c r="D69" s="40">
        <f>IFERROR(COUNTIFS('Participant Data'!$J:$J,"yes",'Participant Data'!$H:$H,$B$54,'Participant Data'!$I:$I,E$47),0)</f>
        <v>0</v>
      </c>
      <c r="E69" s="40">
        <f>IFERROR(COUNTIFS('Participant Data'!$J:$J,"yes",'Participant Data'!$H:$H,$B$54,'Participant Data'!$I:$I,F$47),0)</f>
        <v>0</v>
      </c>
      <c r="F69" s="40">
        <f>IFERROR(COUNTIFS('Participant Data'!$J:$J,"yes",'Participant Data'!$H:$H,$B$54,'Participant Data'!$I:$I,G$47),0)</f>
        <v>0</v>
      </c>
      <c r="G69" s="40">
        <f>IFERROR(COUNTIFS('Participant Data'!$J:$J,"yes",'Participant Data'!$H:$H,$B$54,'Participant Data'!$I:$I,H$47),0)</f>
        <v>0</v>
      </c>
      <c r="H69" s="40">
        <f>IFERROR(COUNTIFS('Participant Data'!$J:$J,"yes",'Participant Data'!$H:$H,$B$54,'Participant Data'!$I:$I,I$47),0)</f>
        <v>0</v>
      </c>
      <c r="I69" s="40">
        <f>IFERROR(COUNTIFS('Participant Data'!$J:$J,"yes",'Participant Data'!$H:$H,$B$54,'Participant Data'!$I:$I,J$47),0)</f>
        <v>0</v>
      </c>
      <c r="J69" s="41">
        <f>COUNTIFS('Participant Data'!J:J,"yes",'Participant Data'!H:H,'Participant Charges'!B69)</f>
        <v>0</v>
      </c>
    </row>
    <row r="70" spans="2:10" x14ac:dyDescent="0.3">
      <c r="B70" s="16" t="s">
        <v>20</v>
      </c>
      <c r="C70" s="39">
        <f>IFERROR(COUNTIFS('Participant Data'!$J:$J,"yes",'Participant Data'!$H:$H,$B$55,'Participant Data'!$I:$I,D$47),0)</f>
        <v>0</v>
      </c>
      <c r="D70" s="40">
        <f>IFERROR(COUNTIFS('Participant Data'!$J:$J,"yes",'Participant Data'!$H:$H,$B$55,'Participant Data'!$I:$I,E$47),0)</f>
        <v>0</v>
      </c>
      <c r="E70" s="40">
        <f>IFERROR(COUNTIFS('Participant Data'!$J:$J,"yes",'Participant Data'!$H:$H,$B$55,'Participant Data'!$I:$I,F$47),0)</f>
        <v>0</v>
      </c>
      <c r="F70" s="40">
        <f>IFERROR(COUNTIFS('Participant Data'!$J:$J,"yes",'Participant Data'!$H:$H,$B$55,'Participant Data'!$I:$I,G$47),0)</f>
        <v>0</v>
      </c>
      <c r="G70" s="40">
        <f>IFERROR(COUNTIFS('Participant Data'!$J:$J,"yes",'Participant Data'!$H:$H,$B$55,'Participant Data'!$I:$I,H$47),0)</f>
        <v>0</v>
      </c>
      <c r="H70" s="40">
        <f>IFERROR(COUNTIFS('Participant Data'!$J:$J,"yes",'Participant Data'!$H:$H,$B$55,'Participant Data'!$I:$I,I$47),0)</f>
        <v>0</v>
      </c>
      <c r="I70" s="40">
        <f>IFERROR(COUNTIFS('Participant Data'!$J:$J,"yes",'Participant Data'!$H:$H,$B$55,'Participant Data'!$I:$I,J$47),0)</f>
        <v>0</v>
      </c>
      <c r="J70" s="41">
        <f>COUNTIFS('Participant Data'!J:J,"yes",'Participant Data'!H:H,'Participant Charges'!B70)</f>
        <v>0</v>
      </c>
    </row>
    <row r="71" spans="2:10" x14ac:dyDescent="0.3">
      <c r="B71" s="16" t="s">
        <v>21</v>
      </c>
      <c r="C71" s="39">
        <f>IFERROR(COUNTIFS('Participant Data'!$J:$J,"yes",'Participant Data'!$H:$H,$B$56,'Participant Data'!$I:$I,D$47),0)</f>
        <v>0</v>
      </c>
      <c r="D71" s="40">
        <f>IFERROR(COUNTIFS('Participant Data'!$J:$J,"yes",'Participant Data'!$H:$H,$B$56,'Participant Data'!$I:$I,E$47),0)</f>
        <v>0</v>
      </c>
      <c r="E71" s="40">
        <f>IFERROR(COUNTIFS('Participant Data'!$J:$J,"yes",'Participant Data'!$H:$H,$B$56,'Participant Data'!$I:$I,F$47),0)</f>
        <v>0</v>
      </c>
      <c r="F71" s="40">
        <f>IFERROR(COUNTIFS('Participant Data'!$J:$J,"yes",'Participant Data'!$H:$H,$B$56,'Participant Data'!$I:$I,G$47),0)</f>
        <v>0</v>
      </c>
      <c r="G71" s="40">
        <f>IFERROR(COUNTIFS('Participant Data'!$J:$J,"yes",'Participant Data'!$H:$H,$B$56,'Participant Data'!$I:$I,H$47),0)</f>
        <v>0</v>
      </c>
      <c r="H71" s="40">
        <f>IFERROR(COUNTIFS('Participant Data'!$J:$J,"yes",'Participant Data'!$H:$H,$B$56,'Participant Data'!$I:$I,I$47),0)</f>
        <v>0</v>
      </c>
      <c r="I71" s="40">
        <f>IFERROR(COUNTIFS('Participant Data'!$J:$J,"yes",'Participant Data'!$H:$H,$B$56,'Participant Data'!$I:$I,J$47),0)</f>
        <v>0</v>
      </c>
      <c r="J71" s="41">
        <f>COUNTIFS('Participant Data'!J:J,"yes",'Participant Data'!H:H,'Participant Charges'!B71)</f>
        <v>0</v>
      </c>
    </row>
    <row r="72" spans="2:10" x14ac:dyDescent="0.3">
      <c r="B72" s="46" t="s">
        <v>22</v>
      </c>
      <c r="C72" s="42">
        <f>IFERROR(COUNTIFS('Participant Data'!$J:$J,"yes",'Participant Data'!$H:$H,$B$57,'Participant Data'!$I:$I,D$47),0)</f>
        <v>0</v>
      </c>
      <c r="D72" s="43">
        <f>IFERROR(COUNTIFS('Participant Data'!$J:$J,"yes",'Participant Data'!$H:$H,$B$57,'Participant Data'!$I:$I,E$47),0)</f>
        <v>0</v>
      </c>
      <c r="E72" s="43">
        <f>IFERROR(COUNTIFS('Participant Data'!$J:$J,"yes",'Participant Data'!$H:$H,$B$57,'Participant Data'!$I:$I,F$47),0)</f>
        <v>0</v>
      </c>
      <c r="F72" s="43">
        <f>IFERROR(COUNTIFS('Participant Data'!$J:$J,"yes",'Participant Data'!$H:$H,$B$57,'Participant Data'!$I:$I,G$47),0)</f>
        <v>0</v>
      </c>
      <c r="G72" s="43">
        <f>IFERROR(COUNTIFS('Participant Data'!$J:$J,"yes",'Participant Data'!$H:$H,$B$57,'Participant Data'!$I:$I,H$47),0)</f>
        <v>0</v>
      </c>
      <c r="H72" s="43">
        <f>IFERROR(COUNTIFS('Participant Data'!$J:$J,"yes",'Participant Data'!$H:$H,$B$57,'Participant Data'!$I:$I,I$47),0)</f>
        <v>0</v>
      </c>
      <c r="I72" s="43">
        <f>IFERROR(COUNTIFS('Participant Data'!$J:$J,"yes",'Participant Data'!$H:$H,$B$57,'Participant Data'!$I:$I,J$47),0)</f>
        <v>0</v>
      </c>
      <c r="J72" s="44">
        <f>COUNTIFS('Participant Data'!J:J,"yes",'Participant Data'!H:H,'Participant Charges'!B72)</f>
        <v>0</v>
      </c>
    </row>
    <row r="73" spans="2:10" x14ac:dyDescent="0.3">
      <c r="B73" s="28" t="s">
        <v>65</v>
      </c>
      <c r="C73" s="45">
        <f>SUM(C63:C72)</f>
        <v>2</v>
      </c>
      <c r="D73" s="21">
        <f t="shared" ref="D73:I73" si="3">SUM(D63:D72)</f>
        <v>6</v>
      </c>
      <c r="E73" s="21">
        <f t="shared" si="3"/>
        <v>0</v>
      </c>
      <c r="F73" s="21">
        <f t="shared" si="3"/>
        <v>8</v>
      </c>
      <c r="G73" s="21">
        <f t="shared" si="3"/>
        <v>4</v>
      </c>
      <c r="H73" s="21">
        <f t="shared" si="3"/>
        <v>8</v>
      </c>
      <c r="I73" s="21">
        <f t="shared" si="3"/>
        <v>6</v>
      </c>
      <c r="J73" s="35">
        <f>SUM(J63:J72)</f>
        <v>42</v>
      </c>
    </row>
  </sheetData>
  <conditionalFormatting sqref="C63:I72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57FF8-830D-460D-8480-A24DE97BAA50}">
  <dimension ref="B2:S125"/>
  <sheetViews>
    <sheetView topLeftCell="A104" workbookViewId="0">
      <selection activeCell="W129" sqref="W129"/>
    </sheetView>
  </sheetViews>
  <sheetFormatPr defaultColWidth="9.140625" defaultRowHeight="18.75" x14ac:dyDescent="0.3"/>
  <cols>
    <col min="1" max="1" width="9.140625" style="10"/>
    <col min="2" max="3" width="9.140625" style="10" hidden="1" customWidth="1"/>
    <col min="4" max="4" width="38.85546875" style="10" bestFit="1" customWidth="1"/>
    <col min="5" max="5" width="15.5703125" style="10" customWidth="1"/>
    <col min="6" max="6" width="18.42578125" style="10" bestFit="1" customWidth="1"/>
    <col min="7" max="7" width="16.7109375" style="10" bestFit="1" customWidth="1"/>
    <col min="8" max="9" width="18.42578125" style="10" customWidth="1"/>
    <col min="10" max="10" width="9.5703125" style="10" bestFit="1" customWidth="1"/>
    <col min="11" max="18" width="9.140625" style="10"/>
    <col min="19" max="19" width="22.28515625" style="10" customWidth="1"/>
    <col min="20" max="20" width="9.140625" style="10"/>
    <col min="21" max="21" width="22.28515625" style="10" customWidth="1"/>
    <col min="22" max="22" width="9.140625" style="10"/>
    <col min="23" max="23" width="21" style="10" customWidth="1"/>
    <col min="24" max="24" width="9.140625" style="10"/>
    <col min="25" max="25" width="22.42578125" style="10" customWidth="1"/>
    <col min="26" max="16384" width="9.140625" style="10"/>
  </cols>
  <sheetData>
    <row r="2" spans="2:19" ht="38.25" customHeight="1" x14ac:dyDescent="0.4">
      <c r="R2" s="23" t="e" vm="1">
        <v>#VALUE!</v>
      </c>
      <c r="S2" s="24" t="s">
        <v>61</v>
      </c>
    </row>
    <row r="3" spans="2:19" x14ac:dyDescent="0.3">
      <c r="B3" s="9"/>
      <c r="C3" s="28"/>
      <c r="D3" s="28"/>
      <c r="R3" s="9" t="str" cm="1">
        <f t="array" ref="R3">_xlfn.CONCAT((ROUND(INDEX(G5:G9,MATCH(TRUE,INDEX((G5:G9&gt;=0.5),),0)),2) * 100), "% of participants have less than ", INDEX(C5:C9,MATCH(TRUE,INDEX((G5:G9&gt;=0.5),),0)), " court attendances")</f>
        <v>62% of participants have less than 10 court attendances</v>
      </c>
    </row>
    <row r="4" spans="2:19" x14ac:dyDescent="0.3">
      <c r="B4" s="9" t="s">
        <v>56</v>
      </c>
      <c r="C4" s="9" t="s">
        <v>57</v>
      </c>
      <c r="D4" s="18" t="s">
        <v>77</v>
      </c>
      <c r="E4" s="19" t="s">
        <v>55</v>
      </c>
      <c r="F4" s="19" t="s">
        <v>59</v>
      </c>
      <c r="G4" s="19" t="s">
        <v>60</v>
      </c>
    </row>
    <row r="5" spans="2:19" x14ac:dyDescent="0.3">
      <c r="B5" s="15"/>
      <c r="C5" s="15">
        <v>5</v>
      </c>
      <c r="D5" s="16" t="str">
        <f>_xlfn.CONCAT(C5, " or fewer")</f>
        <v>5 or fewer</v>
      </c>
      <c r="E5" s="16">
        <f>COUNTIFS('Participant Data'!$J:$J,"yes",'Participant Data'!$Q:$Q,"&lt;="&amp;C5)</f>
        <v>10</v>
      </c>
      <c r="F5" s="11">
        <f>E5/$E$10</f>
        <v>0.23809523809523808</v>
      </c>
      <c r="G5" s="11">
        <f>E5/$E$10</f>
        <v>0.23809523809523808</v>
      </c>
    </row>
    <row r="6" spans="2:19" x14ac:dyDescent="0.3">
      <c r="B6" s="15">
        <v>6</v>
      </c>
      <c r="C6" s="15">
        <v>10</v>
      </c>
      <c r="D6" s="16" t="str">
        <f>_xlfn.CONCAT(B6, " to ",C6)</f>
        <v>6 to 10</v>
      </c>
      <c r="E6" s="16">
        <f>COUNTIFS('Participant Data'!$J:$J,"yes",'Participant Data'!$Q:$Q,"&gt;="&amp;B6,'Participant Data'!$Q:$Q,"&lt;="&amp;C6)</f>
        <v>16</v>
      </c>
      <c r="F6" s="11">
        <f t="shared" ref="F6:F9" si="0">E6/$E$10</f>
        <v>0.38095238095238093</v>
      </c>
      <c r="G6" s="17">
        <f>G5+F6</f>
        <v>0.61904761904761907</v>
      </c>
    </row>
    <row r="7" spans="2:19" x14ac:dyDescent="0.3">
      <c r="B7" s="15">
        <v>11</v>
      </c>
      <c r="C7" s="15">
        <v>15</v>
      </c>
      <c r="D7" s="16" t="str">
        <f t="shared" ref="D7:D8" si="1">_xlfn.CONCAT(B7, " to ",C7)</f>
        <v>11 to 15</v>
      </c>
      <c r="E7" s="16">
        <f>COUNTIFS('Participant Data'!$J:$J,"yes",'Participant Data'!$Q:$Q,"&gt;="&amp;B7,'Participant Data'!$Q:$Q,"&lt;="&amp;C7)</f>
        <v>6</v>
      </c>
      <c r="F7" s="11">
        <f t="shared" si="0"/>
        <v>0.14285714285714285</v>
      </c>
      <c r="G7" s="17">
        <f t="shared" ref="G7:G9" si="2">G6+F7</f>
        <v>0.76190476190476186</v>
      </c>
    </row>
    <row r="8" spans="2:19" x14ac:dyDescent="0.3">
      <c r="B8" s="15">
        <v>16</v>
      </c>
      <c r="C8" s="15">
        <v>20</v>
      </c>
      <c r="D8" s="16" t="str">
        <f t="shared" si="1"/>
        <v>16 to 20</v>
      </c>
      <c r="E8" s="16">
        <f>COUNTIFS('Participant Data'!$J:$J,"yes",'Participant Data'!$Q:$Q,"&gt;="&amp;B8,'Participant Data'!$Q:$Q,"&lt;="&amp;C8)</f>
        <v>2</v>
      </c>
      <c r="F8" s="11">
        <f t="shared" si="0"/>
        <v>4.7619047619047616E-2</v>
      </c>
      <c r="G8" s="17">
        <f t="shared" si="2"/>
        <v>0.80952380952380953</v>
      </c>
    </row>
    <row r="9" spans="2:19" x14ac:dyDescent="0.3">
      <c r="B9" s="15">
        <v>21</v>
      </c>
      <c r="C9" s="15"/>
      <c r="D9" s="16" t="str">
        <f>_xlfn.CONCAT(B9," or more")</f>
        <v>21 or more</v>
      </c>
      <c r="E9" s="16">
        <f>COUNTIFS('Participant Data'!$J:$J,"yes",'Participant Data'!$Q:$Q,"&gt;="&amp;B9)</f>
        <v>8</v>
      </c>
      <c r="F9" s="11">
        <f t="shared" si="0"/>
        <v>0.19047619047619047</v>
      </c>
      <c r="G9" s="17">
        <f t="shared" si="2"/>
        <v>1</v>
      </c>
    </row>
    <row r="10" spans="2:19" ht="19.5" thickBot="1" x14ac:dyDescent="0.35">
      <c r="E10" s="13">
        <f>SUM(E5:E9)</f>
        <v>42</v>
      </c>
    </row>
    <row r="11" spans="2:19" ht="19.5" thickTop="1" x14ac:dyDescent="0.3"/>
    <row r="23" spans="2:19" ht="38.25" customHeight="1" x14ac:dyDescent="0.4">
      <c r="R23" s="23" t="e" vm="1">
        <v>#VALUE!</v>
      </c>
      <c r="S23" s="24" t="s">
        <v>61</v>
      </c>
    </row>
    <row r="24" spans="2:19" x14ac:dyDescent="0.3">
      <c r="B24" s="9"/>
      <c r="C24" s="28"/>
      <c r="D24" s="28"/>
      <c r="R24" s="9" t="str" cm="1">
        <f t="array" ref="R24">_xlfn.CONCAT((ROUND(INDEX(G26:G31,MATCH(TRUE,INDEX((G26:G31&gt;=0.5),),0)),2) * 100), "% of participants have ", INDEX(C26:C31,MATCH(TRUE,INDEX((G26:G31&gt;=0.5),),0)), " or fewer violations")</f>
        <v>95% of participants have 10 or fewer violations</v>
      </c>
    </row>
    <row r="25" spans="2:19" x14ac:dyDescent="0.3">
      <c r="B25" s="9" t="s">
        <v>56</v>
      </c>
      <c r="C25" s="9" t="s">
        <v>57</v>
      </c>
      <c r="D25" s="18" t="s">
        <v>78</v>
      </c>
      <c r="E25" s="19" t="s">
        <v>55</v>
      </c>
      <c r="F25" s="19" t="s">
        <v>59</v>
      </c>
      <c r="G25" s="19" t="s">
        <v>60</v>
      </c>
    </row>
    <row r="26" spans="2:19" x14ac:dyDescent="0.3">
      <c r="B26" s="15"/>
      <c r="C26" s="15">
        <v>0</v>
      </c>
      <c r="D26" s="16" t="s">
        <v>148</v>
      </c>
      <c r="E26" s="16">
        <f>COUNTIFS('Participant Data'!$J:$J,"yes",'Participant Data'!$R:$R,"&lt;="&amp;C26)</f>
        <v>2</v>
      </c>
      <c r="F26" s="11">
        <f>E26/$E$10</f>
        <v>4.7619047619047616E-2</v>
      </c>
      <c r="G26" s="11">
        <f>E26/$E$10</f>
        <v>4.7619047619047616E-2</v>
      </c>
    </row>
    <row r="27" spans="2:19" x14ac:dyDescent="0.3">
      <c r="B27" s="15">
        <v>1</v>
      </c>
      <c r="C27" s="15">
        <v>5</v>
      </c>
      <c r="D27" s="16" t="str">
        <f>_xlfn.CONCAT(B27, " to ",C27)</f>
        <v>1 to 5</v>
      </c>
      <c r="E27" s="16">
        <f>COUNTIFS('Participant Data'!$J:$J,"yes",'Participant Data'!$R:$R,"&gt;="&amp;B27,'Participant Data'!$R:$R,"&lt;="&amp;C27)</f>
        <v>16</v>
      </c>
      <c r="F27" s="11">
        <f t="shared" ref="F27:F31" si="3">E27/$E$10</f>
        <v>0.38095238095238093</v>
      </c>
      <c r="G27" s="17">
        <f>G26+F27</f>
        <v>0.42857142857142855</v>
      </c>
    </row>
    <row r="28" spans="2:19" x14ac:dyDescent="0.3">
      <c r="B28" s="15">
        <v>6</v>
      </c>
      <c r="C28" s="15">
        <v>10</v>
      </c>
      <c r="D28" s="16" t="str">
        <f t="shared" ref="D28:D30" si="4">_xlfn.CONCAT(B28, " to ",C28)</f>
        <v>6 to 10</v>
      </c>
      <c r="E28" s="16">
        <f>COUNTIFS('Participant Data'!$J:$J,"yes",'Participant Data'!$R:$R,"&gt;="&amp;B28,'Participant Data'!$R:$R,"&lt;="&amp;C28)</f>
        <v>22</v>
      </c>
      <c r="F28" s="11">
        <f t="shared" si="3"/>
        <v>0.52380952380952384</v>
      </c>
      <c r="G28" s="17">
        <f t="shared" ref="G28:G31" si="5">G27+F28</f>
        <v>0.95238095238095233</v>
      </c>
    </row>
    <row r="29" spans="2:19" x14ac:dyDescent="0.3">
      <c r="B29" s="15">
        <v>11</v>
      </c>
      <c r="C29" s="15">
        <v>15</v>
      </c>
      <c r="D29" s="16" t="str">
        <f t="shared" si="4"/>
        <v>11 to 15</v>
      </c>
      <c r="E29" s="16">
        <f>COUNTIFS('Participant Data'!$J:$J,"yes",'Participant Data'!$R:$R,"&gt;="&amp;B29,'Participant Data'!$R:$R,"&lt;="&amp;C29)</f>
        <v>2</v>
      </c>
      <c r="F29" s="11">
        <f t="shared" si="3"/>
        <v>4.7619047619047616E-2</v>
      </c>
      <c r="G29" s="17">
        <f t="shared" si="5"/>
        <v>1</v>
      </c>
    </row>
    <row r="30" spans="2:19" x14ac:dyDescent="0.3">
      <c r="B30" s="15">
        <v>16</v>
      </c>
      <c r="C30" s="15">
        <v>20</v>
      </c>
      <c r="D30" s="16" t="str">
        <f t="shared" si="4"/>
        <v>16 to 20</v>
      </c>
      <c r="E30" s="16">
        <f>COUNTIFS('Participant Data'!$J:$J,"yes",'Participant Data'!$R:$R,"&gt;="&amp;B30,'Participant Data'!$R:$R,"&lt;="&amp;C30)</f>
        <v>0</v>
      </c>
      <c r="F30" s="11">
        <f t="shared" si="3"/>
        <v>0</v>
      </c>
      <c r="G30" s="17">
        <f t="shared" si="5"/>
        <v>1</v>
      </c>
    </row>
    <row r="31" spans="2:19" x14ac:dyDescent="0.3">
      <c r="B31" s="15">
        <v>21</v>
      </c>
      <c r="C31" s="15"/>
      <c r="D31" s="16" t="str">
        <f>_xlfn.CONCAT(B31," or more")</f>
        <v>21 or more</v>
      </c>
      <c r="E31" s="16">
        <f>COUNTIFS('Participant Data'!$J:$J,"yes",'Participant Data'!$R:$R,"&gt;="&amp;B31)</f>
        <v>0</v>
      </c>
      <c r="F31" s="11">
        <f t="shared" si="3"/>
        <v>0</v>
      </c>
      <c r="G31" s="17">
        <f t="shared" si="5"/>
        <v>1</v>
      </c>
    </row>
    <row r="32" spans="2:19" ht="19.5" thickBot="1" x14ac:dyDescent="0.35">
      <c r="E32" s="13">
        <f>SUM(E26:E31)</f>
        <v>42</v>
      </c>
    </row>
    <row r="33" spans="4:7" ht="19.5" thickTop="1" x14ac:dyDescent="0.3"/>
    <row r="43" spans="4:7" x14ac:dyDescent="0.3">
      <c r="D43" s="18" t="s">
        <v>150</v>
      </c>
      <c r="E43" s="19" t="s">
        <v>149</v>
      </c>
      <c r="F43" s="19" t="s">
        <v>59</v>
      </c>
      <c r="G43" s="10" t="s">
        <v>151</v>
      </c>
    </row>
    <row r="44" spans="4:7" x14ac:dyDescent="0.3">
      <c r="D44" s="10" t="s">
        <v>64</v>
      </c>
      <c r="E44" s="34">
        <f>SUMIFS('Participant Data'!T:T,'Participant Data'!$J:$J,"yes")</f>
        <v>352</v>
      </c>
      <c r="F44" s="12">
        <f>E44/$E$46</f>
        <v>0.69841269841269837</v>
      </c>
      <c r="G44" s="10" t="str">
        <f>_xlfn.CONCAT(E44," (",ROUND(F44,2)*100,"%)")</f>
        <v>352 (70%)</v>
      </c>
    </row>
    <row r="45" spans="4:7" x14ac:dyDescent="0.3">
      <c r="D45" s="10" t="s">
        <v>63</v>
      </c>
      <c r="E45" s="34">
        <f>SUMIFS('Participant Data'!$S:$S,'Participant Data'!$J:$J,"yes")</f>
        <v>152</v>
      </c>
      <c r="F45" s="12">
        <f>E45/$E$46</f>
        <v>0.30158730158730157</v>
      </c>
      <c r="G45" s="10" t="str">
        <f>_xlfn.CONCAT(E45," (",ROUND(F45,2)*100,"%)")</f>
        <v>152 (30%)</v>
      </c>
    </row>
    <row r="46" spans="4:7" ht="19.5" thickBot="1" x14ac:dyDescent="0.35">
      <c r="D46" s="16"/>
      <c r="E46" s="22">
        <f>SUM(E44:E45)</f>
        <v>504</v>
      </c>
    </row>
    <row r="47" spans="4:7" ht="19.5" thickTop="1" x14ac:dyDescent="0.3"/>
    <row r="60" spans="2:19" ht="38.25" customHeight="1" x14ac:dyDescent="0.4">
      <c r="R60" s="23" t="e" vm="1">
        <v>#VALUE!</v>
      </c>
      <c r="S60" s="24" t="s">
        <v>61</v>
      </c>
    </row>
    <row r="61" spans="2:19" x14ac:dyDescent="0.3">
      <c r="B61" s="9"/>
      <c r="C61" s="28"/>
      <c r="D61" s="28"/>
      <c r="R61" s="9" t="str" cm="1">
        <f t="array" ref="R61">_xlfn.CONCAT((ROUND(INDEX(G63:G68,MATCH(TRUE,INDEX((G63:G68&gt;=0.5),),0)),2)*100),"% of participants with positive drug screens have ",INDEX(C63:C68,MATCH(TRUE,INDEX((G63:G68&gt;=0.5),),0))," or fewer positive screens")</f>
        <v>86% of participants with positive drug screens have 5 or fewer positive screens</v>
      </c>
    </row>
    <row r="62" spans="2:19" x14ac:dyDescent="0.3">
      <c r="B62" s="9" t="s">
        <v>56</v>
      </c>
      <c r="C62" s="9" t="s">
        <v>57</v>
      </c>
      <c r="D62" s="18" t="s">
        <v>79</v>
      </c>
      <c r="E62" s="19" t="s">
        <v>55</v>
      </c>
      <c r="F62" s="19" t="s">
        <v>59</v>
      </c>
      <c r="G62" s="19" t="s">
        <v>60</v>
      </c>
    </row>
    <row r="63" spans="2:19" x14ac:dyDescent="0.3">
      <c r="B63" s="15">
        <v>1</v>
      </c>
      <c r="C63" s="15">
        <v>2</v>
      </c>
      <c r="D63" s="16" t="str">
        <f>_xlfn.CONCAT(C63, " or fewer")</f>
        <v>2 or fewer</v>
      </c>
      <c r="E63" s="16">
        <f>COUNTIFS('Participant Data'!$J:$J,"yes",'Participant Data'!S:S,"&gt;="&amp;B63,'Participant Data'!S:S,"&lt;="&amp;C63)</f>
        <v>10</v>
      </c>
      <c r="F63" s="11">
        <f>E63/$E$67</f>
        <v>0.23809523809523808</v>
      </c>
      <c r="G63" s="11">
        <f>E63/$E$10</f>
        <v>0.23809523809523808</v>
      </c>
    </row>
    <row r="64" spans="2:19" x14ac:dyDescent="0.3">
      <c r="B64" s="15">
        <v>3</v>
      </c>
      <c r="C64" s="15">
        <v>5</v>
      </c>
      <c r="D64" s="16" t="str">
        <f>_xlfn.CONCAT(B64, " to ",C64)</f>
        <v>3 to 5</v>
      </c>
      <c r="E64" s="16">
        <f>COUNTIFS('Participant Data'!$J:$J,"yes",'Participant Data'!S:S,"&gt;="&amp;B64,'Participant Data'!S:S,"&lt;="&amp;C64)</f>
        <v>26</v>
      </c>
      <c r="F64" s="11">
        <f t="shared" ref="F64:F66" si="6">E64/$E$67</f>
        <v>0.61904761904761907</v>
      </c>
      <c r="G64" s="17">
        <f>G63+F64</f>
        <v>0.85714285714285721</v>
      </c>
    </row>
    <row r="65" spans="2:18" x14ac:dyDescent="0.3">
      <c r="B65" s="15">
        <v>6</v>
      </c>
      <c r="C65" s="15">
        <v>8</v>
      </c>
      <c r="D65" s="16" t="str">
        <f t="shared" ref="D65" si="7">_xlfn.CONCAT(B65, " to ",C65)</f>
        <v>6 to 8</v>
      </c>
      <c r="E65" s="16">
        <f>COUNTIFS('Participant Data'!$J:$J,"yes",'Participant Data'!S:S,"&gt;="&amp;B65,'Participant Data'!S:S,"&lt;="&amp;C65)</f>
        <v>6</v>
      </c>
      <c r="F65" s="11">
        <f t="shared" si="6"/>
        <v>0.14285714285714285</v>
      </c>
      <c r="G65" s="17">
        <f t="shared" ref="G65:G66" si="8">G64+F65</f>
        <v>1</v>
      </c>
    </row>
    <row r="66" spans="2:18" x14ac:dyDescent="0.3">
      <c r="B66" s="15">
        <v>9</v>
      </c>
      <c r="C66" s="15"/>
      <c r="D66" s="16" t="str">
        <f>_xlfn.CONCAT(B66," or more")</f>
        <v>9 or more</v>
      </c>
      <c r="E66" s="16">
        <f>COUNTIFS('Participant Data'!$J:$J,"yes",'Participant Data'!$S:$S,"&gt;="&amp;B66)</f>
        <v>0</v>
      </c>
      <c r="F66" s="11">
        <f t="shared" si="6"/>
        <v>0</v>
      </c>
      <c r="G66" s="17">
        <f t="shared" si="8"/>
        <v>1</v>
      </c>
    </row>
    <row r="67" spans="2:18" ht="19.5" thickBot="1" x14ac:dyDescent="0.35">
      <c r="E67" s="13">
        <f>SUM(E63:E66)</f>
        <v>42</v>
      </c>
    </row>
    <row r="68" spans="2:18" ht="19.5" thickTop="1" x14ac:dyDescent="0.3"/>
    <row r="79" spans="2:18" ht="38.25" customHeight="1" x14ac:dyDescent="0.4">
      <c r="Q79" s="23" t="e" vm="1">
        <v>#VALUE!</v>
      </c>
      <c r="R79" s="24" t="s">
        <v>61</v>
      </c>
    </row>
    <row r="80" spans="2:18" x14ac:dyDescent="0.3">
      <c r="D80" s="18" t="s">
        <v>139</v>
      </c>
      <c r="E80" s="19" t="s">
        <v>55</v>
      </c>
      <c r="F80" s="19" t="s">
        <v>140</v>
      </c>
      <c r="J80" s="28"/>
      <c r="Q80" s="9" t="str">
        <f>_xlfn.CONCAT("Sanction to Incentive ratio is ", SUBSTITUTE(TEXT(MROUND(F82,0.05),"?/??"),"/",":"), " (rounded to nearest 5%)")</f>
        <v>Sanction to Incentive ratio is 1:4  (rounded to nearest 5%)</v>
      </c>
    </row>
    <row r="81" spans="4:6" x14ac:dyDescent="0.3">
      <c r="D81" s="10" t="s">
        <v>66</v>
      </c>
      <c r="E81" s="10">
        <f>SUMIFS('Participant Data'!Z:Z,'Participant Data'!$J:$J,"yes")</f>
        <v>1170</v>
      </c>
      <c r="F81" s="12"/>
    </row>
    <row r="82" spans="4:6" ht="19.5" thickBot="1" x14ac:dyDescent="0.35">
      <c r="D82" s="10" t="s">
        <v>67</v>
      </c>
      <c r="E82" s="10">
        <f>SUMIFS('Participant Data'!AA:AA,'Participant Data'!$J:$J,"yes")</f>
        <v>272</v>
      </c>
      <c r="F82" s="29">
        <f>E82/E81</f>
        <v>0.23247863247863249</v>
      </c>
    </row>
    <row r="83" spans="4:6" ht="19.5" thickTop="1" x14ac:dyDescent="0.3"/>
    <row r="101" spans="4:7" x14ac:dyDescent="0.3">
      <c r="D101" s="18"/>
      <c r="E101" s="19" t="s">
        <v>141</v>
      </c>
      <c r="F101" s="19" t="s">
        <v>142</v>
      </c>
      <c r="G101" s="19" t="s">
        <v>143</v>
      </c>
    </row>
    <row r="102" spans="4:7" x14ac:dyDescent="0.3">
      <c r="D102" s="10" t="s">
        <v>81</v>
      </c>
      <c r="E102" s="10">
        <f>COUNTIFS('Participant Data'!$J:$J,"yes",'Participant Data'!$U:$U,'Participant Performance'!$E$101)</f>
        <v>24</v>
      </c>
      <c r="F102" s="10">
        <f>COUNTIFS('Participant Data'!$J:$J,"yes",'Participant Data'!$U:$U,'Participant Performance'!$F$101)</f>
        <v>12</v>
      </c>
      <c r="G102" s="10">
        <f>COUNTIFS('Participant Data'!$J:$J,"yes",'Participant Data'!$U:$U,'Participant Performance'!$G$101)</f>
        <v>6</v>
      </c>
    </row>
    <row r="103" spans="4:7" x14ac:dyDescent="0.3">
      <c r="D103" s="10" t="s">
        <v>152</v>
      </c>
      <c r="E103" s="10">
        <f>COUNTIFS('Participant Data'!$J:$J,"yes",'Participant Data'!$W:$W,'Participant Performance'!$E$101)</f>
        <v>36</v>
      </c>
      <c r="F103" s="10">
        <f>COUNTIFS('Participant Data'!$J:$J,"yes",'Participant Data'!$W:$W,'Participant Performance'!$F$101)</f>
        <v>6</v>
      </c>
      <c r="G103" s="10">
        <f>COUNTIFS('Participant Data'!$J:$J,"yes",'Participant Data'!$W:$W,'Participant Performance'!$G$101)</f>
        <v>0</v>
      </c>
    </row>
    <row r="104" spans="4:7" x14ac:dyDescent="0.3">
      <c r="D104" s="10" t="s">
        <v>84</v>
      </c>
      <c r="E104" s="10">
        <f>COUNTIFS('Participant Data'!$J:$J,"yes",'Participant Data'!$X:$X,'Participant Performance'!$E$101)</f>
        <v>8</v>
      </c>
      <c r="F104" s="10">
        <f>COUNTIFS('Participant Data'!$J:$J,"yes",'Participant Data'!$X:$X,'Participant Performance'!$F$101)</f>
        <v>34</v>
      </c>
      <c r="G104" s="10">
        <f>COUNTIFS('Participant Data'!$J:$J,"yes",'Participant Data'!$X:$X,'Participant Performance'!$G$101)</f>
        <v>0</v>
      </c>
    </row>
    <row r="105" spans="4:7" x14ac:dyDescent="0.3">
      <c r="D105" s="10" t="s">
        <v>85</v>
      </c>
      <c r="E105" s="10">
        <f>COUNTIFS('Participant Data'!$J:$J,"yes",'Participant Data'!$Y:$Y,'Participant Performance'!E101)</f>
        <v>30</v>
      </c>
      <c r="F105" s="10">
        <f>COUNTIFS('Participant Data'!$J:$J,"yes",'Participant Data'!$Y:$Y,'Participant Performance'!F101)</f>
        <v>12</v>
      </c>
      <c r="G105" s="10">
        <f>COUNTIFS('Participant Data'!$J:$J,"yes",'Participant Data'!$Y:$Y,'Participant Performance'!G101)</f>
        <v>0</v>
      </c>
    </row>
    <row r="120" spans="4:7" x14ac:dyDescent="0.3">
      <c r="D120" s="18"/>
      <c r="E120" s="19" t="s">
        <v>141</v>
      </c>
      <c r="F120" s="19" t="s">
        <v>142</v>
      </c>
      <c r="G120" s="19" t="s">
        <v>143</v>
      </c>
    </row>
    <row r="121" spans="4:7" x14ac:dyDescent="0.3">
      <c r="D121" s="10" t="s">
        <v>87</v>
      </c>
      <c r="E121" s="10">
        <f>COUNTIFS('Participant Data'!$J:$J,"yes",'Participant Data'!$AD:$AD,'Participant Performance'!E120)</f>
        <v>25</v>
      </c>
      <c r="F121" s="10">
        <f>COUNTIFS('Participant Data'!$J:$J,"yes",'Participant Data'!$AD:$AD,'Participant Performance'!F120)</f>
        <v>17</v>
      </c>
      <c r="G121" s="10">
        <f>COUNTIFS('Participant Data'!$J:$J,"yes",'Participant Data'!$AD:$AD,'Participant Performance'!G120)</f>
        <v>0</v>
      </c>
    </row>
    <row r="122" spans="4:7" x14ac:dyDescent="0.3">
      <c r="D122" s="10" t="s">
        <v>89</v>
      </c>
      <c r="E122" s="10">
        <f>COUNTIFS('Participant Data'!$J:$J,"yes",'Participant Data'!$AF:$AF,'Participant Performance'!E120)</f>
        <v>12</v>
      </c>
      <c r="F122" s="10">
        <f>COUNTIFS('Participant Data'!$J:$J,"yes",'Participant Data'!$AF:$AF,'Participant Performance'!F120)</f>
        <v>30</v>
      </c>
      <c r="G122" s="10">
        <f>COUNTIFS('Participant Data'!$J:$J,"yes",'Participant Data'!$AF:$AF,'Participant Performance'!G120)</f>
        <v>0</v>
      </c>
    </row>
    <row r="123" spans="4:7" x14ac:dyDescent="0.3">
      <c r="D123" s="10" t="s">
        <v>90</v>
      </c>
      <c r="E123" s="10">
        <f>COUNTIFS('Participant Data'!$J:$J,"yes",'Participant Data'!$AG:$AG,'Participant Performance'!$E$120)</f>
        <v>10</v>
      </c>
      <c r="F123" s="10">
        <f>COUNTIFS('Participant Data'!$J:$J,"yes",'Participant Data'!$AG:$AG,'Participant Performance'!$F$120)</f>
        <v>30</v>
      </c>
      <c r="G123" s="10">
        <f>COUNTIFS('Participant Data'!$J:$J,"yes",'Participant Data'!$AG:$AG,'Participant Performance'!$G$120)</f>
        <v>2</v>
      </c>
    </row>
    <row r="124" spans="4:7" x14ac:dyDescent="0.3">
      <c r="D124" s="10" t="s">
        <v>91</v>
      </c>
      <c r="E124" s="10">
        <f>COUNTIFS('Participant Data'!$J:$J,"yes",'Participant Data'!$AH:$AH,'Participant Performance'!$E$120)</f>
        <v>4</v>
      </c>
      <c r="F124" s="10">
        <f>COUNTIFS('Participant Data'!$J:$J,"yes",'Participant Data'!$AH:$AH,'Participant Performance'!$F$120)</f>
        <v>0</v>
      </c>
      <c r="G124" s="10">
        <f>COUNTIFS('Participant Data'!$J:$J,"yes",'Participant Data'!$AH:$AH,'Participant Performance'!$G$120)</f>
        <v>38</v>
      </c>
    </row>
    <row r="125" spans="4:7" x14ac:dyDescent="0.3">
      <c r="D125" s="10" t="s">
        <v>92</v>
      </c>
      <c r="E125" s="10">
        <f>COUNTIFS('Participant Data'!$J:$J,"yes",'Participant Data'!$AI:$AI,'Participant Performance'!$E$120)</f>
        <v>5</v>
      </c>
      <c r="F125" s="10">
        <f>COUNTIFS('Participant Data'!$J:$J,"yes",'Participant Data'!$AI:$AI,'Participant Performance'!$F$120)</f>
        <v>17</v>
      </c>
      <c r="G125" s="10">
        <f>COUNTIFS('Participant Data'!$J:$J,"yes",'Participant Data'!$AI:$AI,'Participant Performance'!$G$120)</f>
        <v>20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23031-681D-4591-824C-0BC7060C7B8C}">
  <dimension ref="B1:E50"/>
  <sheetViews>
    <sheetView topLeftCell="A18" workbookViewId="0">
      <selection activeCell="U48" sqref="U48"/>
    </sheetView>
  </sheetViews>
  <sheetFormatPr defaultColWidth="9.140625" defaultRowHeight="18.75" x14ac:dyDescent="0.3"/>
  <cols>
    <col min="1" max="1" width="9.140625" style="10"/>
    <col min="2" max="2" width="30" style="10" bestFit="1" customWidth="1"/>
    <col min="3" max="3" width="15.28515625" style="10" customWidth="1"/>
    <col min="4" max="4" width="24.85546875" style="10" customWidth="1"/>
    <col min="5" max="5" width="20" style="10" bestFit="1" customWidth="1"/>
    <col min="6" max="6" width="24.5703125" style="10" customWidth="1"/>
    <col min="7" max="16384" width="9.140625" style="10"/>
  </cols>
  <sheetData>
    <row r="1" spans="2:5" hidden="1" x14ac:dyDescent="0.3"/>
    <row r="2" spans="2:5" hidden="1" x14ac:dyDescent="0.3"/>
    <row r="3" spans="2:5" ht="37.5" hidden="1" x14ac:dyDescent="0.3">
      <c r="B3" s="18"/>
      <c r="C3" s="36" t="s">
        <v>156</v>
      </c>
      <c r="D3" s="36" t="s">
        <v>157</v>
      </c>
      <c r="E3" s="36" t="s">
        <v>161</v>
      </c>
    </row>
    <row r="4" spans="2:5" hidden="1" x14ac:dyDescent="0.3">
      <c r="B4" s="16" t="s">
        <v>153</v>
      </c>
      <c r="C4" s="16">
        <f ca="1">COUNTIFS('Participant Data'!$J:$J,"yes",'Participant Data'!$M:$M,"graduated",'Participant Data'!$P:$P,Recidivism!B4)</f>
        <v>3</v>
      </c>
      <c r="D4" s="16">
        <f ca="1">COUNTIFS('Participant Data'!$J:$J,"yes",'Participant Data'!$M:$M,"graduated",'Participant Data'!$P:$P,Recidivism!B4,'Participant Data'!$AK:$AK,"yes")</f>
        <v>1</v>
      </c>
      <c r="E4" s="12">
        <f ca="1">D4/C4</f>
        <v>0.33333333333333331</v>
      </c>
    </row>
    <row r="5" spans="2:5" hidden="1" x14ac:dyDescent="0.3">
      <c r="B5" s="16" t="s">
        <v>154</v>
      </c>
      <c r="C5" s="16">
        <f ca="1">COUNTIFS('Participant Data'!$J:$J,"yes",'Participant Data'!$M:$M,"graduated",'Participant Data'!$P:$P,Recidivism!B5)</f>
        <v>5</v>
      </c>
      <c r="D5" s="16">
        <f ca="1">COUNTIFS('Participant Data'!$J:$J,"yes",'Participant Data'!$M:$M,"graduated",'Participant Data'!$P:$P,Recidivism!B5,'Participant Data'!$AK:$AK,"yes")</f>
        <v>2</v>
      </c>
      <c r="E5" s="12">
        <f t="shared" ref="E5:E7" ca="1" si="0">D5/C5</f>
        <v>0.4</v>
      </c>
    </row>
    <row r="6" spans="2:5" hidden="1" x14ac:dyDescent="0.3">
      <c r="B6" s="16" t="s">
        <v>155</v>
      </c>
      <c r="C6" s="16">
        <f ca="1">COUNTIFS('Participant Data'!$J:$J,"yes",'Participant Data'!$M:$M,"graduated",'Participant Data'!$P:$P,Recidivism!B6)</f>
        <v>8</v>
      </c>
      <c r="D6" s="16">
        <f ca="1">COUNTIFS('Participant Data'!$J:$J,"yes",'Participant Data'!$M:$M,"graduated",'Participant Data'!$P:$P,Recidivism!B6,'Participant Data'!$AK:$AK,"yes")</f>
        <v>1</v>
      </c>
      <c r="E6" s="12">
        <f t="shared" ca="1" si="0"/>
        <v>0.125</v>
      </c>
    </row>
    <row r="7" spans="2:5" hidden="1" x14ac:dyDescent="0.3">
      <c r="B7" s="16" t="s">
        <v>160</v>
      </c>
      <c r="C7" s="16">
        <f ca="1">COUNTIFS('Participant Data'!$J:$J,"yes",'Participant Data'!$M:$M,"graduated",'Participant Data'!$P:$P,Recidivism!B7)</f>
        <v>13</v>
      </c>
      <c r="D7" s="16">
        <f ca="1">COUNTIFS('Participant Data'!$J:$J,"yes",'Participant Data'!$M:$M,"graduated",'Participant Data'!$P:$P,Recidivism!B7,'Participant Data'!$AK:$AK,"yes")</f>
        <v>0</v>
      </c>
      <c r="E7" s="12">
        <f t="shared" ca="1" si="0"/>
        <v>0</v>
      </c>
    </row>
    <row r="8" spans="2:5" hidden="1" x14ac:dyDescent="0.3">
      <c r="B8" s="16"/>
    </row>
    <row r="9" spans="2:5" hidden="1" x14ac:dyDescent="0.3">
      <c r="B9" s="16"/>
    </row>
    <row r="10" spans="2:5" hidden="1" x14ac:dyDescent="0.3"/>
    <row r="11" spans="2:5" hidden="1" x14ac:dyDescent="0.3"/>
    <row r="12" spans="2:5" hidden="1" x14ac:dyDescent="0.3"/>
    <row r="13" spans="2:5" hidden="1" x14ac:dyDescent="0.3"/>
    <row r="14" spans="2:5" hidden="1" x14ac:dyDescent="0.3"/>
    <row r="15" spans="2:5" hidden="1" x14ac:dyDescent="0.3"/>
    <row r="16" spans="2:5" hidden="1" x14ac:dyDescent="0.3"/>
    <row r="17" spans="2:5" ht="10.5" hidden="1" customHeight="1" x14ac:dyDescent="0.3"/>
    <row r="18" spans="2:5" ht="2.25" customHeight="1" x14ac:dyDescent="0.3"/>
    <row r="20" spans="2:5" ht="37.5" x14ac:dyDescent="0.3">
      <c r="B20" s="18"/>
      <c r="C20" s="36" t="s">
        <v>158</v>
      </c>
      <c r="D20" s="36" t="s">
        <v>159</v>
      </c>
      <c r="E20" s="36" t="s">
        <v>162</v>
      </c>
    </row>
    <row r="21" spans="2:5" x14ac:dyDescent="0.3">
      <c r="B21" s="16" t="s">
        <v>153</v>
      </c>
      <c r="C21" s="10">
        <f ca="1">C4</f>
        <v>3</v>
      </c>
      <c r="D21" s="10">
        <f ca="1">D4</f>
        <v>1</v>
      </c>
      <c r="E21" s="12">
        <f ca="1">D21/C21</f>
        <v>0.33333333333333331</v>
      </c>
    </row>
    <row r="22" spans="2:5" x14ac:dyDescent="0.3">
      <c r="B22" s="16" t="s">
        <v>154</v>
      </c>
      <c r="C22" s="10">
        <f ca="1">C5+C21</f>
        <v>8</v>
      </c>
      <c r="D22" s="10">
        <f ca="1">D5+D21</f>
        <v>3</v>
      </c>
      <c r="E22" s="12">
        <f t="shared" ref="E22:E24" ca="1" si="1">D22/C22</f>
        <v>0.375</v>
      </c>
    </row>
    <row r="23" spans="2:5" x14ac:dyDescent="0.3">
      <c r="B23" s="16" t="s">
        <v>155</v>
      </c>
      <c r="C23" s="10">
        <f ca="1">C6+C22</f>
        <v>16</v>
      </c>
      <c r="D23" s="10">
        <f ca="1">D6+D22</f>
        <v>4</v>
      </c>
      <c r="E23" s="12">
        <f t="shared" ca="1" si="1"/>
        <v>0.25</v>
      </c>
    </row>
    <row r="24" spans="2:5" x14ac:dyDescent="0.3">
      <c r="B24" s="16" t="s">
        <v>160</v>
      </c>
      <c r="C24" s="10">
        <f ca="1">C7+C23</f>
        <v>29</v>
      </c>
      <c r="D24" s="10">
        <f ca="1">D7+D23</f>
        <v>4</v>
      </c>
      <c r="E24" s="12">
        <f t="shared" ca="1" si="1"/>
        <v>0.13793103448275862</v>
      </c>
    </row>
    <row r="40" spans="2:4" x14ac:dyDescent="0.3">
      <c r="B40" s="47" t="s">
        <v>113</v>
      </c>
      <c r="C40" s="36" t="s">
        <v>55</v>
      </c>
      <c r="D40" s="36" t="s">
        <v>59</v>
      </c>
    </row>
    <row r="41" spans="2:4" x14ac:dyDescent="0.3">
      <c r="B41" s="16" t="s">
        <v>31</v>
      </c>
      <c r="C41" s="16">
        <f>COUNTIFS('Participant Data'!$J:$J,"yes",'Participant Data'!$M:$M,"graduated",'Participant Data'!$AM:$AM,Recidivism!B41)</f>
        <v>2</v>
      </c>
      <c r="D41" s="12">
        <f>C41/$C$49</f>
        <v>0.5</v>
      </c>
    </row>
    <row r="42" spans="2:4" x14ac:dyDescent="0.3">
      <c r="B42" s="16" t="s">
        <v>181</v>
      </c>
      <c r="C42" s="16">
        <f>COUNTIFS('Participant Data'!$J:$J,"yes",'Participant Data'!$M:$M,"graduated",'Participant Data'!$AM:$AM,Recidivism!B42)</f>
        <v>0</v>
      </c>
      <c r="D42" s="12">
        <f t="shared" ref="D42:D48" si="2">C42/$C$49</f>
        <v>0</v>
      </c>
    </row>
    <row r="43" spans="2:4" x14ac:dyDescent="0.3">
      <c r="B43" s="16" t="s">
        <v>26</v>
      </c>
      <c r="C43" s="16">
        <f>COUNTIFS('Participant Data'!$J:$J,"yes",'Participant Data'!$M:$M,"graduated",'Participant Data'!$AM:$AM,Recidivism!B43)</f>
        <v>0</v>
      </c>
      <c r="D43" s="12">
        <f t="shared" si="2"/>
        <v>0</v>
      </c>
    </row>
    <row r="44" spans="2:4" x14ac:dyDescent="0.3">
      <c r="B44" s="16" t="s">
        <v>25</v>
      </c>
      <c r="C44" s="16">
        <f>COUNTIFS('Participant Data'!$J:$J,"yes",'Participant Data'!$M:$M,"graduated",'Participant Data'!$AM:$AM,Recidivism!B44)</f>
        <v>1</v>
      </c>
      <c r="D44" s="12">
        <f t="shared" si="2"/>
        <v>0.25</v>
      </c>
    </row>
    <row r="45" spans="2:4" x14ac:dyDescent="0.3">
      <c r="B45" s="10" t="s">
        <v>32</v>
      </c>
      <c r="C45" s="16">
        <f>COUNTIFS('Participant Data'!$J:$J,"yes",'Participant Data'!$M:$M,"graduated",'Participant Data'!$AM:$AM,Recidivism!B45)</f>
        <v>0</v>
      </c>
      <c r="D45" s="12">
        <f t="shared" si="2"/>
        <v>0</v>
      </c>
    </row>
    <row r="46" spans="2:4" x14ac:dyDescent="0.3">
      <c r="B46" s="10" t="s">
        <v>163</v>
      </c>
      <c r="C46" s="16">
        <f>COUNTIFS('Participant Data'!$J:$J,"yes",'Participant Data'!$M:$M,"graduated",'Participant Data'!$AM:$AM,Recidivism!B46)</f>
        <v>0</v>
      </c>
      <c r="D46" s="12">
        <f t="shared" si="2"/>
        <v>0</v>
      </c>
    </row>
    <row r="47" spans="2:4" x14ac:dyDescent="0.3">
      <c r="B47" s="10" t="s">
        <v>29</v>
      </c>
      <c r="C47" s="16">
        <f>COUNTIFS('Participant Data'!$J:$J,"yes",'Participant Data'!$M:$M,"graduated",'Participant Data'!$AM:$AM,Recidivism!B47)</f>
        <v>1</v>
      </c>
      <c r="D47" s="12">
        <f t="shared" si="2"/>
        <v>0.25</v>
      </c>
    </row>
    <row r="48" spans="2:4" x14ac:dyDescent="0.3">
      <c r="B48" s="10" t="s">
        <v>164</v>
      </c>
      <c r="C48" s="16">
        <f>COUNTIFS('Participant Data'!$J:$J,"yes",'Participant Data'!$M:$M,"graduated",'Participant Data'!$AM:$AM,Recidivism!B48)</f>
        <v>0</v>
      </c>
      <c r="D48" s="12">
        <f t="shared" si="2"/>
        <v>0</v>
      </c>
    </row>
    <row r="49" spans="3:3" ht="19.5" thickBot="1" x14ac:dyDescent="0.35">
      <c r="C49" s="13">
        <f>SUM(C41:C48)</f>
        <v>4</v>
      </c>
    </row>
    <row r="50" spans="3:3" ht="19.5" thickTop="1" x14ac:dyDescent="0.3"/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Participant Data</vt:lpstr>
      <vt:lpstr>Program Details</vt:lpstr>
      <vt:lpstr>Participant Demographics</vt:lpstr>
      <vt:lpstr>Participant Charges</vt:lpstr>
      <vt:lpstr>Participant Performance</vt:lpstr>
      <vt:lpstr>Recidivism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Lisa</dc:creator>
  <cp:lastModifiedBy>Williams, Lisa</cp:lastModifiedBy>
  <dcterms:created xsi:type="dcterms:W3CDTF">2024-08-08T03:27:27Z</dcterms:created>
  <dcterms:modified xsi:type="dcterms:W3CDTF">2024-11-17T19:08:17Z</dcterms:modified>
</cp:coreProperties>
</file>